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 tabRatio="813" firstSheet="11" activeTab="20"/>
  </bookViews>
  <sheets>
    <sheet name="3 квартал" sheetId="40" r:id="rId1"/>
    <sheet name="декабрь" sheetId="46" r:id="rId2"/>
    <sheet name="ноябрь" sheetId="44" r:id="rId3"/>
    <sheet name="октябрь" sheetId="47" r:id="rId4"/>
    <sheet name="4 квартал" sheetId="43" r:id="rId5"/>
    <sheet name="сентябрь" sheetId="38" r:id="rId6"/>
    <sheet name="август" sheetId="35" r:id="rId7"/>
    <sheet name="июль (2)" sheetId="37" r:id="rId8"/>
    <sheet name="форма 3_9 мес (2)" sheetId="42" r:id="rId9"/>
    <sheet name="форма 3_7 мес" sheetId="36" r:id="rId10"/>
    <sheet name="июнь" sheetId="31" r:id="rId11"/>
    <sheet name="май" sheetId="29" r:id="rId12"/>
    <sheet name="апрель" sheetId="28" r:id="rId13"/>
    <sheet name="март" sheetId="26" r:id="rId14"/>
    <sheet name="февраль" sheetId="25" r:id="rId15"/>
    <sheet name="январь" sheetId="23" r:id="rId16"/>
    <sheet name="6 месяцев" sheetId="33" r:id="rId17"/>
    <sheet name="1 квартал" sheetId="27" r:id="rId18"/>
    <sheet name="2 квартал" sheetId="32" r:id="rId19"/>
    <sheet name="9 мес." sheetId="48" r:id="rId20"/>
    <sheet name="Год2017" sheetId="41" r:id="rId21"/>
    <sheet name="%" sheetId="5" r:id="rId22"/>
    <sheet name="план 2017 после увеличения тари" sheetId="34" r:id="rId23"/>
    <sheet name="план 2017 новый" sheetId="30" r:id="rId24"/>
    <sheet name="план 2017" sheetId="24" r:id="rId25"/>
    <sheet name="форма 3" sheetId="3" r:id="rId26"/>
  </sheets>
  <definedNames>
    <definedName name="_xlnm.Print_Area" localSheetId="5">сентябрь!$A$1:$Z$161</definedName>
  </definedNames>
  <calcPr calcId="125725"/>
</workbook>
</file>

<file path=xl/calcChain.xml><?xml version="1.0" encoding="utf-8"?>
<calcChain xmlns="http://schemas.openxmlformats.org/spreadsheetml/2006/main">
  <c r="I150" i="41"/>
  <c r="I149"/>
  <c r="L150"/>
  <c r="L149"/>
  <c r="I146"/>
  <c r="I145"/>
  <c r="I144"/>
  <c r="I143"/>
  <c r="I97"/>
  <c r="L97"/>
  <c r="I93"/>
  <c r="I92"/>
  <c r="L93"/>
  <c r="L92"/>
  <c r="I91"/>
  <c r="I90"/>
  <c r="L91"/>
  <c r="L90"/>
  <c r="I89"/>
  <c r="I88"/>
  <c r="L89"/>
  <c r="L88"/>
  <c r="I86"/>
  <c r="I85"/>
  <c r="L86"/>
  <c r="L85"/>
  <c r="I84"/>
  <c r="I83"/>
  <c r="L84"/>
  <c r="L83"/>
  <c r="I82"/>
  <c r="I81"/>
  <c r="L82"/>
  <c r="L81"/>
  <c r="I80"/>
  <c r="I79"/>
  <c r="L80"/>
  <c r="L79"/>
  <c r="I78"/>
  <c r="I77"/>
  <c r="L78"/>
  <c r="L77"/>
  <c r="I76"/>
  <c r="I75"/>
  <c r="L76"/>
  <c r="L75"/>
  <c r="I57"/>
  <c r="I56"/>
  <c r="J57"/>
  <c r="J56"/>
  <c r="I55"/>
  <c r="I54"/>
  <c r="J55"/>
  <c r="J54"/>
  <c r="L55"/>
  <c r="L54"/>
  <c r="I53"/>
  <c r="I52"/>
  <c r="I51"/>
  <c r="J51"/>
  <c r="J50"/>
  <c r="I50"/>
  <c r="I45"/>
  <c r="I44"/>
  <c r="I43"/>
  <c r="I42"/>
  <c r="I41"/>
  <c r="I40"/>
  <c r="I39"/>
  <c r="I38"/>
  <c r="I37"/>
  <c r="L39"/>
  <c r="L38"/>
  <c r="L37"/>
  <c r="I36"/>
  <c r="I35"/>
  <c r="I34"/>
  <c r="I33"/>
  <c r="J34"/>
  <c r="J33"/>
  <c r="L34"/>
  <c r="L33"/>
  <c r="M34"/>
  <c r="M33"/>
  <c r="I25"/>
  <c r="I24"/>
  <c r="I32"/>
  <c r="I18"/>
  <c r="I17"/>
  <c r="I20"/>
  <c r="I19"/>
  <c r="L19"/>
  <c r="L20"/>
  <c r="W156" i="48"/>
  <c r="U156"/>
  <c r="R156"/>
  <c r="P156"/>
  <c r="N156"/>
  <c r="K156"/>
  <c r="I156"/>
  <c r="H156"/>
  <c r="E156"/>
  <c r="D156" s="1"/>
  <c r="W155"/>
  <c r="U155"/>
  <c r="R155"/>
  <c r="P155"/>
  <c r="N155"/>
  <c r="K155"/>
  <c r="I155"/>
  <c r="H155"/>
  <c r="E155"/>
  <c r="D155"/>
  <c r="W154"/>
  <c r="U154"/>
  <c r="R154"/>
  <c r="P154"/>
  <c r="N154"/>
  <c r="K154"/>
  <c r="I154"/>
  <c r="H154"/>
  <c r="E154"/>
  <c r="D154"/>
  <c r="W153"/>
  <c r="U153"/>
  <c r="R153"/>
  <c r="P153"/>
  <c r="N153"/>
  <c r="K153"/>
  <c r="I153"/>
  <c r="H153"/>
  <c r="E153"/>
  <c r="D153"/>
  <c r="W152"/>
  <c r="U152"/>
  <c r="R152"/>
  <c r="P152"/>
  <c r="N152"/>
  <c r="K152"/>
  <c r="I152"/>
  <c r="H152"/>
  <c r="E152"/>
  <c r="D152"/>
  <c r="W151"/>
  <c r="U151"/>
  <c r="R151"/>
  <c r="P151"/>
  <c r="N151"/>
  <c r="K151"/>
  <c r="I151"/>
  <c r="H151"/>
  <c r="E151"/>
  <c r="D151"/>
  <c r="W150"/>
  <c r="U150"/>
  <c r="R150"/>
  <c r="P150"/>
  <c r="N150"/>
  <c r="K150"/>
  <c r="I150"/>
  <c r="H150"/>
  <c r="E150"/>
  <c r="D150"/>
  <c r="W149"/>
  <c r="U149"/>
  <c r="R149"/>
  <c r="P149"/>
  <c r="N149"/>
  <c r="K149"/>
  <c r="I149"/>
  <c r="H149"/>
  <c r="E149"/>
  <c r="D149"/>
  <c r="W148"/>
  <c r="U148"/>
  <c r="R148"/>
  <c r="P148"/>
  <c r="N148"/>
  <c r="K148"/>
  <c r="I148"/>
  <c r="H148"/>
  <c r="E148"/>
  <c r="W147"/>
  <c r="U147"/>
  <c r="R147"/>
  <c r="P147"/>
  <c r="N147"/>
  <c r="K147"/>
  <c r="I147"/>
  <c r="H147"/>
  <c r="E147"/>
  <c r="D147"/>
  <c r="W146"/>
  <c r="U146"/>
  <c r="R146"/>
  <c r="P146"/>
  <c r="N146"/>
  <c r="K146"/>
  <c r="I146"/>
  <c r="H146"/>
  <c r="E146"/>
  <c r="D146" s="1"/>
  <c r="W145"/>
  <c r="U145"/>
  <c r="R145"/>
  <c r="P145"/>
  <c r="N145"/>
  <c r="K145"/>
  <c r="I145"/>
  <c r="H145"/>
  <c r="E145"/>
  <c r="D145" s="1"/>
  <c r="W144"/>
  <c r="U144"/>
  <c r="R144"/>
  <c r="P144"/>
  <c r="N144"/>
  <c r="K144"/>
  <c r="I144"/>
  <c r="H144"/>
  <c r="E144"/>
  <c r="D144" s="1"/>
  <c r="W143"/>
  <c r="U143"/>
  <c r="R143"/>
  <c r="P143"/>
  <c r="N143"/>
  <c r="K143"/>
  <c r="I143"/>
  <c r="H143"/>
  <c r="E143"/>
  <c r="D143" s="1"/>
  <c r="W142"/>
  <c r="U142"/>
  <c r="R142"/>
  <c r="P142"/>
  <c r="N142"/>
  <c r="K142"/>
  <c r="I142"/>
  <c r="H142"/>
  <c r="E142"/>
  <c r="D142" s="1"/>
  <c r="W141"/>
  <c r="U141"/>
  <c r="R141"/>
  <c r="P141"/>
  <c r="N141"/>
  <c r="K141"/>
  <c r="I141"/>
  <c r="H141"/>
  <c r="E141"/>
  <c r="D141" s="1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W138"/>
  <c r="U138"/>
  <c r="R138"/>
  <c r="P138"/>
  <c r="N138"/>
  <c r="K138"/>
  <c r="H138"/>
  <c r="E138"/>
  <c r="D138" s="1"/>
  <c r="W137"/>
  <c r="U137"/>
  <c r="R137"/>
  <c r="P137"/>
  <c r="N137"/>
  <c r="K137"/>
  <c r="H137"/>
  <c r="E137"/>
  <c r="D137"/>
  <c r="W136"/>
  <c r="U136"/>
  <c r="R136"/>
  <c r="P136"/>
  <c r="N136"/>
  <c r="K136"/>
  <c r="H136"/>
  <c r="E136"/>
  <c r="D136" s="1"/>
  <c r="W135"/>
  <c r="U135"/>
  <c r="R135"/>
  <c r="P135"/>
  <c r="N135"/>
  <c r="K135"/>
  <c r="H135"/>
  <c r="E135"/>
  <c r="D135"/>
  <c r="W134"/>
  <c r="U134"/>
  <c r="R134"/>
  <c r="P134"/>
  <c r="N134"/>
  <c r="K134"/>
  <c r="H134"/>
  <c r="E134"/>
  <c r="D134" s="1"/>
  <c r="W133"/>
  <c r="U133"/>
  <c r="R133"/>
  <c r="P133"/>
  <c r="N133"/>
  <c r="K133"/>
  <c r="H133"/>
  <c r="E133"/>
  <c r="D133"/>
  <c r="W132"/>
  <c r="U132"/>
  <c r="R132"/>
  <c r="P132"/>
  <c r="N132"/>
  <c r="K132"/>
  <c r="H132"/>
  <c r="E132"/>
  <c r="D132" s="1"/>
  <c r="W131"/>
  <c r="U131"/>
  <c r="R131"/>
  <c r="P131"/>
  <c r="N131"/>
  <c r="K131"/>
  <c r="H131"/>
  <c r="E131"/>
  <c r="D131"/>
  <c r="W130"/>
  <c r="U130"/>
  <c r="R130"/>
  <c r="P130"/>
  <c r="N130"/>
  <c r="K130"/>
  <c r="H130"/>
  <c r="E130"/>
  <c r="D130" s="1"/>
  <c r="D128" s="1"/>
  <c r="W129"/>
  <c r="U129"/>
  <c r="R129"/>
  <c r="P129"/>
  <c r="N129"/>
  <c r="K129"/>
  <c r="H129"/>
  <c r="E129"/>
  <c r="D129"/>
  <c r="X128"/>
  <c r="W128"/>
  <c r="V128"/>
  <c r="U128"/>
  <c r="T128"/>
  <c r="S128"/>
  <c r="R128" s="1"/>
  <c r="Q128"/>
  <c r="P128" s="1"/>
  <c r="O128"/>
  <c r="N128" s="1"/>
  <c r="M128"/>
  <c r="L128"/>
  <c r="K128"/>
  <c r="J128"/>
  <c r="I128"/>
  <c r="H128" s="1"/>
  <c r="G128"/>
  <c r="F128"/>
  <c r="E128"/>
  <c r="W127"/>
  <c r="U127"/>
  <c r="R127"/>
  <c r="P127"/>
  <c r="N127"/>
  <c r="K127"/>
  <c r="H127"/>
  <c r="E127"/>
  <c r="D127"/>
  <c r="W126"/>
  <c r="U126"/>
  <c r="R126"/>
  <c r="P126"/>
  <c r="N126"/>
  <c r="K126"/>
  <c r="H126"/>
  <c r="E126"/>
  <c r="D126" s="1"/>
  <c r="W125"/>
  <c r="U125"/>
  <c r="R125"/>
  <c r="P125"/>
  <c r="N125"/>
  <c r="K125"/>
  <c r="H125"/>
  <c r="E125"/>
  <c r="D125"/>
  <c r="W124"/>
  <c r="U124"/>
  <c r="R124"/>
  <c r="P124"/>
  <c r="N124"/>
  <c r="K124"/>
  <c r="H124"/>
  <c r="E124"/>
  <c r="D124" s="1"/>
  <c r="W123"/>
  <c r="U123"/>
  <c r="R123"/>
  <c r="P123"/>
  <c r="N123"/>
  <c r="K123"/>
  <c r="H123"/>
  <c r="E123"/>
  <c r="D123"/>
  <c r="W122"/>
  <c r="U122"/>
  <c r="R122"/>
  <c r="P122"/>
  <c r="N122"/>
  <c r="K122"/>
  <c r="H122"/>
  <c r="E122"/>
  <c r="D122" s="1"/>
  <c r="W121"/>
  <c r="U121"/>
  <c r="R121"/>
  <c r="P121"/>
  <c r="N121"/>
  <c r="K121"/>
  <c r="H121"/>
  <c r="E121"/>
  <c r="D121"/>
  <c r="W120"/>
  <c r="U120"/>
  <c r="R120"/>
  <c r="P120"/>
  <c r="N120"/>
  <c r="K120"/>
  <c r="H120"/>
  <c r="E120"/>
  <c r="D120" s="1"/>
  <c r="W119"/>
  <c r="U119"/>
  <c r="R119"/>
  <c r="P119"/>
  <c r="N119"/>
  <c r="K119"/>
  <c r="H119"/>
  <c r="E119"/>
  <c r="D119"/>
  <c r="W118"/>
  <c r="U118"/>
  <c r="R118"/>
  <c r="P118"/>
  <c r="N118"/>
  <c r="K118"/>
  <c r="H118"/>
  <c r="E118"/>
  <c r="D118" s="1"/>
  <c r="W117"/>
  <c r="U117"/>
  <c r="R117"/>
  <c r="P117"/>
  <c r="N117"/>
  <c r="K117"/>
  <c r="H117"/>
  <c r="E117"/>
  <c r="D117"/>
  <c r="W116"/>
  <c r="U116"/>
  <c r="R116"/>
  <c r="P116"/>
  <c r="N116"/>
  <c r="K116"/>
  <c r="H116"/>
  <c r="E116"/>
  <c r="D116" s="1"/>
  <c r="W115"/>
  <c r="U115"/>
  <c r="R115"/>
  <c r="P115"/>
  <c r="N115"/>
  <c r="K115"/>
  <c r="H115"/>
  <c r="E115"/>
  <c r="D115"/>
  <c r="W114"/>
  <c r="U114"/>
  <c r="R114"/>
  <c r="P114"/>
  <c r="N114"/>
  <c r="K114"/>
  <c r="H114"/>
  <c r="E114"/>
  <c r="D114" s="1"/>
  <c r="W113"/>
  <c r="U113"/>
  <c r="R113"/>
  <c r="P113"/>
  <c r="N113"/>
  <c r="K113"/>
  <c r="H113"/>
  <c r="E113"/>
  <c r="D113"/>
  <c r="W112"/>
  <c r="U112"/>
  <c r="R112"/>
  <c r="P112"/>
  <c r="N112"/>
  <c r="K112"/>
  <c r="H112"/>
  <c r="E112"/>
  <c r="D112" s="1"/>
  <c r="W111"/>
  <c r="U111"/>
  <c r="R111"/>
  <c r="P111"/>
  <c r="N111"/>
  <c r="K111"/>
  <c r="H111"/>
  <c r="E111"/>
  <c r="D111"/>
  <c r="W110"/>
  <c r="U110"/>
  <c r="R110"/>
  <c r="P110"/>
  <c r="N110"/>
  <c r="K110"/>
  <c r="H110"/>
  <c r="E110"/>
  <c r="D110" s="1"/>
  <c r="W109"/>
  <c r="U109"/>
  <c r="R109"/>
  <c r="P109"/>
  <c r="N109"/>
  <c r="K109"/>
  <c r="H109"/>
  <c r="E109"/>
  <c r="D109"/>
  <c r="W108"/>
  <c r="U108"/>
  <c r="R108"/>
  <c r="P108"/>
  <c r="N108"/>
  <c r="K108"/>
  <c r="H108"/>
  <c r="E108"/>
  <c r="D108" s="1"/>
  <c r="W107"/>
  <c r="U107"/>
  <c r="R107"/>
  <c r="P107"/>
  <c r="N107"/>
  <c r="K107"/>
  <c r="H107"/>
  <c r="E107"/>
  <c r="D107"/>
  <c r="W106"/>
  <c r="U106"/>
  <c r="R106"/>
  <c r="P106"/>
  <c r="N106"/>
  <c r="K106"/>
  <c r="H106"/>
  <c r="E106"/>
  <c r="D106" s="1"/>
  <c r="W105"/>
  <c r="U105"/>
  <c r="R105"/>
  <c r="P105"/>
  <c r="N105"/>
  <c r="K105"/>
  <c r="H105"/>
  <c r="E105"/>
  <c r="D105"/>
  <c r="W104"/>
  <c r="U104"/>
  <c r="R104"/>
  <c r="P104"/>
  <c r="N104"/>
  <c r="K104"/>
  <c r="H104"/>
  <c r="E104"/>
  <c r="D104" s="1"/>
  <c r="W103"/>
  <c r="U103"/>
  <c r="R103"/>
  <c r="P103"/>
  <c r="N103"/>
  <c r="K103"/>
  <c r="H103"/>
  <c r="E103"/>
  <c r="D103"/>
  <c r="W102"/>
  <c r="U102"/>
  <c r="R102"/>
  <c r="P102"/>
  <c r="N102"/>
  <c r="K102"/>
  <c r="H102"/>
  <c r="E102"/>
  <c r="D102" s="1"/>
  <c r="W97"/>
  <c r="W98" s="1"/>
  <c r="U97"/>
  <c r="U98" s="1"/>
  <c r="R97"/>
  <c r="R98" s="1"/>
  <c r="P97"/>
  <c r="P98" s="1"/>
  <c r="N97"/>
  <c r="N98" s="1"/>
  <c r="M97"/>
  <c r="L97"/>
  <c r="K97"/>
  <c r="J97"/>
  <c r="I97"/>
  <c r="E97"/>
  <c r="W96"/>
  <c r="U96"/>
  <c r="R96"/>
  <c r="P96"/>
  <c r="N96"/>
  <c r="M96"/>
  <c r="L96"/>
  <c r="K96"/>
  <c r="J96"/>
  <c r="I96"/>
  <c r="H96" s="1"/>
  <c r="D96" s="1"/>
  <c r="E96"/>
  <c r="W95"/>
  <c r="U95"/>
  <c r="R95"/>
  <c r="P95"/>
  <c r="N95"/>
  <c r="M95"/>
  <c r="L95"/>
  <c r="K95" s="1"/>
  <c r="D95" s="1"/>
  <c r="J95"/>
  <c r="I95"/>
  <c r="H95"/>
  <c r="E95"/>
  <c r="X94"/>
  <c r="X98" s="1"/>
  <c r="W94"/>
  <c r="V94"/>
  <c r="V98" s="1"/>
  <c r="U94"/>
  <c r="T94"/>
  <c r="T98" s="1"/>
  <c r="S94"/>
  <c r="S98" s="1"/>
  <c r="R94"/>
  <c r="Q94"/>
  <c r="Q98" s="1"/>
  <c r="P94"/>
  <c r="O94"/>
  <c r="O98" s="1"/>
  <c r="N94"/>
  <c r="M94"/>
  <c r="L94"/>
  <c r="K94" s="1"/>
  <c r="D94" s="1"/>
  <c r="J94"/>
  <c r="I94"/>
  <c r="H94"/>
  <c r="G94"/>
  <c r="F94"/>
  <c r="E94"/>
  <c r="W93"/>
  <c r="U93"/>
  <c r="R93"/>
  <c r="P93"/>
  <c r="N93"/>
  <c r="M93"/>
  <c r="L93"/>
  <c r="K93"/>
  <c r="J93"/>
  <c r="I93"/>
  <c r="H93" s="1"/>
  <c r="D93" s="1"/>
  <c r="E93"/>
  <c r="W92"/>
  <c r="U92"/>
  <c r="R92"/>
  <c r="P92"/>
  <c r="N92"/>
  <c r="M92"/>
  <c r="L92"/>
  <c r="K92" s="1"/>
  <c r="J92"/>
  <c r="I92"/>
  <c r="H92" s="1"/>
  <c r="D92" s="1"/>
  <c r="E92"/>
  <c r="W91"/>
  <c r="U91"/>
  <c r="R91"/>
  <c r="P91"/>
  <c r="N91"/>
  <c r="M91"/>
  <c r="L91"/>
  <c r="K91"/>
  <c r="J91"/>
  <c r="I91"/>
  <c r="H91" s="1"/>
  <c r="D91" s="1"/>
  <c r="E91"/>
  <c r="W90"/>
  <c r="U90"/>
  <c r="R90"/>
  <c r="P90"/>
  <c r="N90"/>
  <c r="M90"/>
  <c r="L90"/>
  <c r="K90"/>
  <c r="J90"/>
  <c r="I90"/>
  <c r="H90"/>
  <c r="D90" s="1"/>
  <c r="W89"/>
  <c r="U89"/>
  <c r="R89"/>
  <c r="P89"/>
  <c r="N89"/>
  <c r="M89"/>
  <c r="L89"/>
  <c r="K89"/>
  <c r="J89"/>
  <c r="I89"/>
  <c r="H89" s="1"/>
  <c r="D89" s="1"/>
  <c r="E89"/>
  <c r="W88"/>
  <c r="U88"/>
  <c r="R88"/>
  <c r="P88"/>
  <c r="N88"/>
  <c r="M88"/>
  <c r="L88"/>
  <c r="K88"/>
  <c r="J88"/>
  <c r="I88"/>
  <c r="H88" s="1"/>
  <c r="D88" s="1"/>
  <c r="E88"/>
  <c r="X87"/>
  <c r="W87"/>
  <c r="V87"/>
  <c r="U87"/>
  <c r="T87"/>
  <c r="S87"/>
  <c r="R87"/>
  <c r="Q87"/>
  <c r="P87"/>
  <c r="O87"/>
  <c r="N87"/>
  <c r="M87"/>
  <c r="L87"/>
  <c r="K87" s="1"/>
  <c r="D87" s="1"/>
  <c r="J87"/>
  <c r="I87"/>
  <c r="H87"/>
  <c r="G87"/>
  <c r="F87"/>
  <c r="E87"/>
  <c r="W86"/>
  <c r="U86"/>
  <c r="R86"/>
  <c r="P86"/>
  <c r="N86"/>
  <c r="M86"/>
  <c r="L86"/>
  <c r="K86"/>
  <c r="J86"/>
  <c r="I86"/>
  <c r="H86" s="1"/>
  <c r="D86" s="1"/>
  <c r="E86"/>
  <c r="W85"/>
  <c r="U85"/>
  <c r="R85"/>
  <c r="P85"/>
  <c r="N85"/>
  <c r="M85"/>
  <c r="L85"/>
  <c r="K85"/>
  <c r="J85"/>
  <c r="I85"/>
  <c r="H85" s="1"/>
  <c r="D85" s="1"/>
  <c r="E85"/>
  <c r="W84"/>
  <c r="U84"/>
  <c r="R84"/>
  <c r="P84"/>
  <c r="N84"/>
  <c r="M84"/>
  <c r="L84"/>
  <c r="K84"/>
  <c r="J84"/>
  <c r="I84"/>
  <c r="H84" s="1"/>
  <c r="D84" s="1"/>
  <c r="E84"/>
  <c r="W83"/>
  <c r="U83"/>
  <c r="R83"/>
  <c r="P83"/>
  <c r="N83"/>
  <c r="M83"/>
  <c r="L83"/>
  <c r="K83"/>
  <c r="J83"/>
  <c r="I83"/>
  <c r="H83"/>
  <c r="E83"/>
  <c r="D83"/>
  <c r="W82"/>
  <c r="U82"/>
  <c r="R82"/>
  <c r="P82"/>
  <c r="N82"/>
  <c r="M82"/>
  <c r="L82"/>
  <c r="K82"/>
  <c r="J82"/>
  <c r="I82"/>
  <c r="H82" s="1"/>
  <c r="D82" s="1"/>
  <c r="E82"/>
  <c r="W81"/>
  <c r="U81"/>
  <c r="R81"/>
  <c r="P81"/>
  <c r="N81"/>
  <c r="M81"/>
  <c r="L81"/>
  <c r="K81"/>
  <c r="J81"/>
  <c r="I81"/>
  <c r="H81" s="1"/>
  <c r="D81" s="1"/>
  <c r="E81"/>
  <c r="W80"/>
  <c r="U80"/>
  <c r="R80"/>
  <c r="P80"/>
  <c r="N80"/>
  <c r="M80"/>
  <c r="L80"/>
  <c r="K80"/>
  <c r="J80"/>
  <c r="I80"/>
  <c r="H80" s="1"/>
  <c r="D80" s="1"/>
  <c r="E80"/>
  <c r="W79"/>
  <c r="U79"/>
  <c r="R79"/>
  <c r="P79"/>
  <c r="N79"/>
  <c r="M79"/>
  <c r="L79"/>
  <c r="K79" s="1"/>
  <c r="J79"/>
  <c r="I79"/>
  <c r="H79" s="1"/>
  <c r="D79" s="1"/>
  <c r="E79"/>
  <c r="W78"/>
  <c r="U78"/>
  <c r="R78"/>
  <c r="P78"/>
  <c r="N78"/>
  <c r="M78"/>
  <c r="L78"/>
  <c r="K78"/>
  <c r="J78"/>
  <c r="I78"/>
  <c r="H78" s="1"/>
  <c r="D78" s="1"/>
  <c r="E78"/>
  <c r="W77"/>
  <c r="U77"/>
  <c r="R77"/>
  <c r="P77"/>
  <c r="N77"/>
  <c r="M77"/>
  <c r="L77"/>
  <c r="K77"/>
  <c r="J77"/>
  <c r="I77"/>
  <c r="H77"/>
  <c r="E77"/>
  <c r="D77"/>
  <c r="W76"/>
  <c r="U76"/>
  <c r="R76"/>
  <c r="P76"/>
  <c r="N76"/>
  <c r="M76"/>
  <c r="L76"/>
  <c r="K76"/>
  <c r="J76"/>
  <c r="I76"/>
  <c r="H76" s="1"/>
  <c r="D76" s="1"/>
  <c r="E76"/>
  <c r="W75"/>
  <c r="U75"/>
  <c r="R75"/>
  <c r="P75"/>
  <c r="N75"/>
  <c r="M75"/>
  <c r="L75"/>
  <c r="K75" s="1"/>
  <c r="D75" s="1"/>
  <c r="J75"/>
  <c r="I75"/>
  <c r="H75"/>
  <c r="E75"/>
  <c r="X74"/>
  <c r="W74"/>
  <c r="V74"/>
  <c r="U74"/>
  <c r="T74"/>
  <c r="S74"/>
  <c r="R74"/>
  <c r="Q74"/>
  <c r="P74"/>
  <c r="O74"/>
  <c r="N74"/>
  <c r="M74"/>
  <c r="L74"/>
  <c r="K74"/>
  <c r="J74"/>
  <c r="I74"/>
  <c r="H74" s="1"/>
  <c r="D74" s="1"/>
  <c r="G74"/>
  <c r="F74"/>
  <c r="E74"/>
  <c r="X73"/>
  <c r="W73"/>
  <c r="V73"/>
  <c r="U73"/>
  <c r="T73"/>
  <c r="S73"/>
  <c r="R73"/>
  <c r="Q73"/>
  <c r="P73"/>
  <c r="O73"/>
  <c r="N73"/>
  <c r="M73"/>
  <c r="L73"/>
  <c r="K73" s="1"/>
  <c r="D73" s="1"/>
  <c r="J73"/>
  <c r="I73"/>
  <c r="H73"/>
  <c r="G73"/>
  <c r="F73"/>
  <c r="E73"/>
  <c r="X72"/>
  <c r="W72"/>
  <c r="V72"/>
  <c r="U72"/>
  <c r="T72"/>
  <c r="S72"/>
  <c r="R72"/>
  <c r="Q72"/>
  <c r="P72"/>
  <c r="O72"/>
  <c r="N72"/>
  <c r="M72"/>
  <c r="L72"/>
  <c r="K72"/>
  <c r="J72"/>
  <c r="I72"/>
  <c r="H72" s="1"/>
  <c r="D72" s="1"/>
  <c r="G72"/>
  <c r="F72"/>
  <c r="E72"/>
  <c r="W71"/>
  <c r="U71"/>
  <c r="R71"/>
  <c r="P71"/>
  <c r="N71"/>
  <c r="M71"/>
  <c r="L71"/>
  <c r="K71" s="1"/>
  <c r="J71"/>
  <c r="I71"/>
  <c r="H71"/>
  <c r="W70"/>
  <c r="U70"/>
  <c r="R70"/>
  <c r="P70"/>
  <c r="N70"/>
  <c r="M70"/>
  <c r="L70"/>
  <c r="K70" s="1"/>
  <c r="J70"/>
  <c r="I70"/>
  <c r="H70"/>
  <c r="W69"/>
  <c r="U69"/>
  <c r="R69"/>
  <c r="P69"/>
  <c r="N69"/>
  <c r="M69"/>
  <c r="L69"/>
  <c r="K69"/>
  <c r="J69"/>
  <c r="I69"/>
  <c r="H69"/>
  <c r="D69" s="1"/>
  <c r="W68"/>
  <c r="U68"/>
  <c r="R68"/>
  <c r="P68"/>
  <c r="N68"/>
  <c r="M68"/>
  <c r="L68"/>
  <c r="K68"/>
  <c r="J68"/>
  <c r="I68"/>
  <c r="H68"/>
  <c r="D68" s="1"/>
  <c r="W67"/>
  <c r="U67"/>
  <c r="R67"/>
  <c r="P67"/>
  <c r="N67"/>
  <c r="M67"/>
  <c r="L67"/>
  <c r="K67"/>
  <c r="J67"/>
  <c r="I67"/>
  <c r="H67" s="1"/>
  <c r="D67" s="1"/>
  <c r="W66"/>
  <c r="U66"/>
  <c r="R66"/>
  <c r="P66"/>
  <c r="N66"/>
  <c r="M66"/>
  <c r="L66"/>
  <c r="K66"/>
  <c r="J66"/>
  <c r="I66"/>
  <c r="H66" s="1"/>
  <c r="D66" s="1"/>
  <c r="W65"/>
  <c r="U65"/>
  <c r="R65"/>
  <c r="P65"/>
  <c r="N65"/>
  <c r="M65"/>
  <c r="L65"/>
  <c r="K65"/>
  <c r="J65"/>
  <c r="I65"/>
  <c r="H65"/>
  <c r="D65" s="1"/>
  <c r="W64"/>
  <c r="U64"/>
  <c r="R64"/>
  <c r="P64"/>
  <c r="N64"/>
  <c r="M64"/>
  <c r="L64"/>
  <c r="K64"/>
  <c r="J64"/>
  <c r="I64"/>
  <c r="H64" s="1"/>
  <c r="D64" s="1"/>
  <c r="W63"/>
  <c r="U63"/>
  <c r="R63"/>
  <c r="P63"/>
  <c r="N63"/>
  <c r="M63"/>
  <c r="L63"/>
  <c r="K63"/>
  <c r="J63"/>
  <c r="I63"/>
  <c r="H63" s="1"/>
  <c r="D63" s="1"/>
  <c r="W62"/>
  <c r="U62"/>
  <c r="R62"/>
  <c r="P62"/>
  <c r="N62"/>
  <c r="M62"/>
  <c r="L62"/>
  <c r="K62"/>
  <c r="J62"/>
  <c r="I62"/>
  <c r="H62" s="1"/>
  <c r="D62" s="1"/>
  <c r="W61"/>
  <c r="U61"/>
  <c r="R61"/>
  <c r="P61"/>
  <c r="N61"/>
  <c r="M61"/>
  <c r="L61"/>
  <c r="K61"/>
  <c r="J61"/>
  <c r="I61"/>
  <c r="H61"/>
  <c r="D61" s="1"/>
  <c r="W60"/>
  <c r="U60"/>
  <c r="R60"/>
  <c r="P60"/>
  <c r="N60"/>
  <c r="M60"/>
  <c r="L60"/>
  <c r="K60" s="1"/>
  <c r="J60"/>
  <c r="I60"/>
  <c r="H60"/>
  <c r="W59"/>
  <c r="U59"/>
  <c r="R59"/>
  <c r="P59"/>
  <c r="N59"/>
  <c r="M59"/>
  <c r="L59"/>
  <c r="K59" s="1"/>
  <c r="D59" s="1"/>
  <c r="J59"/>
  <c r="I59"/>
  <c r="H59"/>
  <c r="E59"/>
  <c r="W58"/>
  <c r="U58"/>
  <c r="R58"/>
  <c r="P58"/>
  <c r="N58"/>
  <c r="M58"/>
  <c r="L58"/>
  <c r="K58"/>
  <c r="J58"/>
  <c r="I58"/>
  <c r="H58" s="1"/>
  <c r="D58" s="1"/>
  <c r="E58"/>
  <c r="W57"/>
  <c r="U57"/>
  <c r="R57"/>
  <c r="P57"/>
  <c r="N57"/>
  <c r="M57"/>
  <c r="L57"/>
  <c r="K57"/>
  <c r="J57"/>
  <c r="I57"/>
  <c r="H57" s="1"/>
  <c r="D57" s="1"/>
  <c r="E57"/>
  <c r="W56"/>
  <c r="U56"/>
  <c r="R56"/>
  <c r="P56"/>
  <c r="N56"/>
  <c r="M56"/>
  <c r="L56"/>
  <c r="K56"/>
  <c r="J56"/>
  <c r="I56"/>
  <c r="H56"/>
  <c r="E56"/>
  <c r="D56"/>
  <c r="W55"/>
  <c r="U55"/>
  <c r="R55"/>
  <c r="P55"/>
  <c r="N55"/>
  <c r="M55"/>
  <c r="L55"/>
  <c r="K55"/>
  <c r="J55"/>
  <c r="I55"/>
  <c r="H55" s="1"/>
  <c r="D55" s="1"/>
  <c r="E55"/>
  <c r="W54"/>
  <c r="U54"/>
  <c r="R54"/>
  <c r="P54"/>
  <c r="N54"/>
  <c r="M54"/>
  <c r="L54"/>
  <c r="K54"/>
  <c r="J54"/>
  <c r="I54"/>
  <c r="H54" s="1"/>
  <c r="D54" s="1"/>
  <c r="E54"/>
  <c r="W53"/>
  <c r="U53"/>
  <c r="R53"/>
  <c r="P53"/>
  <c r="N53"/>
  <c r="M53"/>
  <c r="L53"/>
  <c r="K53"/>
  <c r="J53"/>
  <c r="I53"/>
  <c r="H53" s="1"/>
  <c r="D53" s="1"/>
  <c r="E53"/>
  <c r="W52"/>
  <c r="U52"/>
  <c r="R52"/>
  <c r="P52"/>
  <c r="N52"/>
  <c r="M52"/>
  <c r="L52"/>
  <c r="K52"/>
  <c r="J52"/>
  <c r="I52"/>
  <c r="H52"/>
  <c r="E52"/>
  <c r="D52"/>
  <c r="W51"/>
  <c r="U51"/>
  <c r="R51"/>
  <c r="P51"/>
  <c r="N51"/>
  <c r="M51"/>
  <c r="L51"/>
  <c r="K51"/>
  <c r="J51"/>
  <c r="I51"/>
  <c r="D100" s="1"/>
  <c r="E51"/>
  <c r="W50"/>
  <c r="U50"/>
  <c r="R50"/>
  <c r="P50"/>
  <c r="N50"/>
  <c r="M50"/>
  <c r="L50"/>
  <c r="K50"/>
  <c r="J50"/>
  <c r="I50"/>
  <c r="H50"/>
  <c r="E50"/>
  <c r="D50"/>
  <c r="W49"/>
  <c r="U49"/>
  <c r="R49"/>
  <c r="P49"/>
  <c r="N49"/>
  <c r="M49"/>
  <c r="L49"/>
  <c r="K49"/>
  <c r="J49"/>
  <c r="I49"/>
  <c r="H49"/>
  <c r="E49"/>
  <c r="D49"/>
  <c r="W48"/>
  <c r="U48"/>
  <c r="R48"/>
  <c r="P48"/>
  <c r="N48"/>
  <c r="M48"/>
  <c r="L48"/>
  <c r="K48"/>
  <c r="J48"/>
  <c r="I48"/>
  <c r="H48" s="1"/>
  <c r="D48" s="1"/>
  <c r="E48"/>
  <c r="W47"/>
  <c r="U47"/>
  <c r="R47"/>
  <c r="P47"/>
  <c r="N47"/>
  <c r="M47"/>
  <c r="L47"/>
  <c r="K47" s="1"/>
  <c r="D47" s="1"/>
  <c r="J47"/>
  <c r="I47"/>
  <c r="H47"/>
  <c r="E47"/>
  <c r="W46"/>
  <c r="U46"/>
  <c r="R46"/>
  <c r="P46"/>
  <c r="N46"/>
  <c r="M46"/>
  <c r="L46"/>
  <c r="K46"/>
  <c r="J46"/>
  <c r="I46"/>
  <c r="H46" s="1"/>
  <c r="D46" s="1"/>
  <c r="E46"/>
  <c r="W45"/>
  <c r="U45"/>
  <c r="R45"/>
  <c r="P45"/>
  <c r="N45"/>
  <c r="M45"/>
  <c r="L45"/>
  <c r="K45"/>
  <c r="J45"/>
  <c r="I45"/>
  <c r="H45"/>
  <c r="E45"/>
  <c r="D45"/>
  <c r="W44"/>
  <c r="U44"/>
  <c r="R44"/>
  <c r="P44"/>
  <c r="N44"/>
  <c r="M44"/>
  <c r="L44"/>
  <c r="K44"/>
  <c r="J44"/>
  <c r="I44"/>
  <c r="H44" s="1"/>
  <c r="D44" s="1"/>
  <c r="E44"/>
  <c r="U43"/>
  <c r="R43"/>
  <c r="P43"/>
  <c r="N43"/>
  <c r="M43"/>
  <c r="L43"/>
  <c r="K43"/>
  <c r="J43"/>
  <c r="I43"/>
  <c r="H43"/>
  <c r="D43" s="1"/>
  <c r="U42"/>
  <c r="R42"/>
  <c r="P42"/>
  <c r="N42"/>
  <c r="M42"/>
  <c r="L42"/>
  <c r="K42"/>
  <c r="J42"/>
  <c r="I42"/>
  <c r="H42" s="1"/>
  <c r="D42" s="1"/>
  <c r="U41"/>
  <c r="R41"/>
  <c r="P41"/>
  <c r="N41"/>
  <c r="M41"/>
  <c r="L41"/>
  <c r="K41"/>
  <c r="J41"/>
  <c r="I41"/>
  <c r="H41" s="1"/>
  <c r="D41" s="1"/>
  <c r="U40"/>
  <c r="R40"/>
  <c r="P40"/>
  <c r="N40"/>
  <c r="M40"/>
  <c r="L40"/>
  <c r="K40"/>
  <c r="J40"/>
  <c r="I40"/>
  <c r="H40"/>
  <c r="D40" s="1"/>
  <c r="W39"/>
  <c r="U39"/>
  <c r="R39"/>
  <c r="P39"/>
  <c r="N39"/>
  <c r="M39"/>
  <c r="L39"/>
  <c r="K39" s="1"/>
  <c r="J39"/>
  <c r="I39"/>
  <c r="H39" s="1"/>
  <c r="D39" s="1"/>
  <c r="E39"/>
  <c r="W38"/>
  <c r="U38"/>
  <c r="R38"/>
  <c r="P38"/>
  <c r="N38"/>
  <c r="M38"/>
  <c r="L38"/>
  <c r="K38"/>
  <c r="J38"/>
  <c r="I38"/>
  <c r="H38" s="1"/>
  <c r="D38" s="1"/>
  <c r="E38"/>
  <c r="W37"/>
  <c r="U37"/>
  <c r="R37"/>
  <c r="P37"/>
  <c r="N37"/>
  <c r="M37"/>
  <c r="L37"/>
  <c r="K37"/>
  <c r="J37"/>
  <c r="I37"/>
  <c r="H37" s="1"/>
  <c r="D37" s="1"/>
  <c r="E37"/>
  <c r="W36"/>
  <c r="U36"/>
  <c r="R36"/>
  <c r="P36"/>
  <c r="N36"/>
  <c r="M36"/>
  <c r="L36"/>
  <c r="K36"/>
  <c r="J36"/>
  <c r="H36"/>
  <c r="E36"/>
  <c r="D36"/>
  <c r="W35"/>
  <c r="U35"/>
  <c r="R35"/>
  <c r="P35"/>
  <c r="N35"/>
  <c r="M35"/>
  <c r="L35"/>
  <c r="K35"/>
  <c r="J35"/>
  <c r="I35"/>
  <c r="H35" s="1"/>
  <c r="E35"/>
  <c r="D35"/>
  <c r="W34"/>
  <c r="U34"/>
  <c r="R34"/>
  <c r="P34"/>
  <c r="M34"/>
  <c r="L34"/>
  <c r="K34"/>
  <c r="J34"/>
  <c r="I34"/>
  <c r="H34" s="1"/>
  <c r="D34" s="1"/>
  <c r="E34"/>
  <c r="W33"/>
  <c r="U33"/>
  <c r="R33"/>
  <c r="P33"/>
  <c r="M33"/>
  <c r="L33"/>
  <c r="K33"/>
  <c r="J33"/>
  <c r="I33"/>
  <c r="H33" s="1"/>
  <c r="D33" s="1"/>
  <c r="E33"/>
  <c r="W32"/>
  <c r="U32"/>
  <c r="R32"/>
  <c r="P32"/>
  <c r="N32"/>
  <c r="K32"/>
  <c r="H32"/>
  <c r="D32" s="1"/>
  <c r="W31"/>
  <c r="U31"/>
  <c r="R31"/>
  <c r="P31"/>
  <c r="N31"/>
  <c r="K31"/>
  <c r="H31"/>
  <c r="D31" s="1"/>
  <c r="W30"/>
  <c r="U30"/>
  <c r="R30"/>
  <c r="P30"/>
  <c r="N30"/>
  <c r="K30"/>
  <c r="H30"/>
  <c r="D30" s="1"/>
  <c r="W29"/>
  <c r="U29"/>
  <c r="R29"/>
  <c r="P29"/>
  <c r="N29"/>
  <c r="K29"/>
  <c r="H29"/>
  <c r="D29" s="1"/>
  <c r="W28"/>
  <c r="U28"/>
  <c r="R28"/>
  <c r="P28"/>
  <c r="N28"/>
  <c r="K28"/>
  <c r="H28"/>
  <c r="D28" s="1"/>
  <c r="W27"/>
  <c r="U27"/>
  <c r="R27"/>
  <c r="P27"/>
  <c r="N27"/>
  <c r="K27"/>
  <c r="H27"/>
  <c r="D27" s="1"/>
  <c r="W26"/>
  <c r="U26"/>
  <c r="R26"/>
  <c r="P26"/>
  <c r="N26"/>
  <c r="K26"/>
  <c r="H26"/>
  <c r="D26" s="1"/>
  <c r="W25"/>
  <c r="U25"/>
  <c r="R25"/>
  <c r="P25"/>
  <c r="N25"/>
  <c r="K25"/>
  <c r="H25"/>
  <c r="D25" s="1"/>
  <c r="W24"/>
  <c r="U24"/>
  <c r="R24"/>
  <c r="P24"/>
  <c r="N24"/>
  <c r="K24"/>
  <c r="H24"/>
  <c r="D24" s="1"/>
  <c r="W23"/>
  <c r="U23"/>
  <c r="R23"/>
  <c r="P23"/>
  <c r="N23"/>
  <c r="M23"/>
  <c r="L23"/>
  <c r="K23" s="1"/>
  <c r="J23"/>
  <c r="I23"/>
  <c r="H23"/>
  <c r="D23" s="1"/>
  <c r="W22"/>
  <c r="U22"/>
  <c r="R22"/>
  <c r="P22"/>
  <c r="N22"/>
  <c r="K22"/>
  <c r="D22"/>
  <c r="W21"/>
  <c r="U21"/>
  <c r="R21"/>
  <c r="P21"/>
  <c r="N21"/>
  <c r="M21"/>
  <c r="L21"/>
  <c r="K21"/>
  <c r="J21"/>
  <c r="I21"/>
  <c r="H21" s="1"/>
  <c r="D21" s="1"/>
  <c r="W20"/>
  <c r="U20"/>
  <c r="R20"/>
  <c r="P20"/>
  <c r="N20"/>
  <c r="L20"/>
  <c r="K20" s="1"/>
  <c r="D20" s="1"/>
  <c r="J20"/>
  <c r="I20"/>
  <c r="H20"/>
  <c r="E20"/>
  <c r="W19"/>
  <c r="U19"/>
  <c r="R19"/>
  <c r="P19"/>
  <c r="N19"/>
  <c r="L19"/>
  <c r="K19" s="1"/>
  <c r="D19" s="1"/>
  <c r="J19"/>
  <c r="I19"/>
  <c r="H19"/>
  <c r="E19"/>
  <c r="W18"/>
  <c r="U18"/>
  <c r="R18"/>
  <c r="P18"/>
  <c r="N18"/>
  <c r="M18"/>
  <c r="L18"/>
  <c r="K18"/>
  <c r="J18"/>
  <c r="I18"/>
  <c r="H18" s="1"/>
  <c r="D18" s="1"/>
  <c r="E18"/>
  <c r="W17"/>
  <c r="U17"/>
  <c r="R17"/>
  <c r="P17"/>
  <c r="N17"/>
  <c r="M17"/>
  <c r="L17"/>
  <c r="K17" s="1"/>
  <c r="D17" s="1"/>
  <c r="J17"/>
  <c r="I17"/>
  <c r="H17"/>
  <c r="E17"/>
  <c r="X16"/>
  <c r="W16"/>
  <c r="V16"/>
  <c r="U16"/>
  <c r="T16"/>
  <c r="S16"/>
  <c r="R16"/>
  <c r="Q16"/>
  <c r="P16"/>
  <c r="O16"/>
  <c r="N16"/>
  <c r="M16"/>
  <c r="L16"/>
  <c r="K16"/>
  <c r="J16"/>
  <c r="I16"/>
  <c r="H16" s="1"/>
  <c r="D16" s="1"/>
  <c r="G16"/>
  <c r="F16"/>
  <c r="E16"/>
  <c r="X15"/>
  <c r="W15"/>
  <c r="V15"/>
  <c r="U15"/>
  <c r="T15"/>
  <c r="S15"/>
  <c r="R15"/>
  <c r="Q15"/>
  <c r="P15"/>
  <c r="O15"/>
  <c r="N15"/>
  <c r="M15"/>
  <c r="L15"/>
  <c r="K15" s="1"/>
  <c r="D15" s="1"/>
  <c r="J15"/>
  <c r="I15"/>
  <c r="H15"/>
  <c r="G15"/>
  <c r="F15"/>
  <c r="E15"/>
  <c r="L14"/>
  <c r="K14"/>
  <c r="J14"/>
  <c r="I14"/>
  <c r="H14"/>
  <c r="D14" s="1"/>
  <c r="M13"/>
  <c r="L13"/>
  <c r="K13"/>
  <c r="J13"/>
  <c r="I13"/>
  <c r="H13" s="1"/>
  <c r="D13" s="1"/>
  <c r="G13"/>
  <c r="F13"/>
  <c r="E13"/>
  <c r="D60" l="1"/>
  <c r="D70"/>
  <c r="D71"/>
  <c r="G98"/>
  <c r="I98"/>
  <c r="M98"/>
  <c r="F98"/>
  <c r="E98"/>
  <c r="J98"/>
  <c r="L98"/>
  <c r="K98" s="1"/>
  <c r="M100" s="1"/>
  <c r="H51"/>
  <c r="D51" s="1"/>
  <c r="H97"/>
  <c r="I151" i="43"/>
  <c r="I150"/>
  <c r="L151"/>
  <c r="L150"/>
  <c r="I100" i="48" l="1"/>
  <c r="D97"/>
  <c r="H98"/>
  <c r="D98" s="1"/>
  <c r="E99" s="1"/>
  <c r="J100" s="1"/>
  <c r="L88" i="43"/>
  <c r="I88"/>
  <c r="I99"/>
  <c r="H99" s="1"/>
  <c r="J99"/>
  <c r="L99"/>
  <c r="M99"/>
  <c r="I98"/>
  <c r="L98"/>
  <c r="K94"/>
  <c r="L94"/>
  <c r="K93"/>
  <c r="L93"/>
  <c r="H94"/>
  <c r="H93"/>
  <c r="I94"/>
  <c r="I93"/>
  <c r="I92"/>
  <c r="I91"/>
  <c r="L92"/>
  <c r="L91"/>
  <c r="H89"/>
  <c r="H90"/>
  <c r="I90"/>
  <c r="K90"/>
  <c r="K89"/>
  <c r="I89"/>
  <c r="I87"/>
  <c r="L87"/>
  <c r="L86"/>
  <c r="I86"/>
  <c r="I85"/>
  <c r="K85"/>
  <c r="L85"/>
  <c r="K84"/>
  <c r="L84"/>
  <c r="I84"/>
  <c r="I83"/>
  <c r="I82"/>
  <c r="I81"/>
  <c r="I80"/>
  <c r="K81"/>
  <c r="K80"/>
  <c r="L81"/>
  <c r="L80"/>
  <c r="I79"/>
  <c r="K79"/>
  <c r="L79"/>
  <c r="I78"/>
  <c r="K78"/>
  <c r="L78"/>
  <c r="I77"/>
  <c r="I76"/>
  <c r="L77"/>
  <c r="L76"/>
  <c r="H14"/>
  <c r="I14"/>
  <c r="J14"/>
  <c r="L14"/>
  <c r="K14"/>
  <c r="M14"/>
  <c r="I58"/>
  <c r="J58"/>
  <c r="J57"/>
  <c r="I57"/>
  <c r="I56"/>
  <c r="L56"/>
  <c r="I55"/>
  <c r="L55"/>
  <c r="I54"/>
  <c r="I53"/>
  <c r="I52"/>
  <c r="J52"/>
  <c r="J51"/>
  <c r="I46"/>
  <c r="I45"/>
  <c r="H47"/>
  <c r="I44"/>
  <c r="I43"/>
  <c r="I39"/>
  <c r="I40"/>
  <c r="D38"/>
  <c r="K38"/>
  <c r="I38"/>
  <c r="I37"/>
  <c r="I36"/>
  <c r="D34"/>
  <c r="H34"/>
  <c r="J34"/>
  <c r="L34"/>
  <c r="K34" s="1"/>
  <c r="I34"/>
  <c r="K35"/>
  <c r="I35"/>
  <c r="J35"/>
  <c r="L35"/>
  <c r="M35"/>
  <c r="M34"/>
  <c r="I15"/>
  <c r="I18"/>
  <c r="I19"/>
  <c r="D14" l="1"/>
  <c r="K86" i="46"/>
  <c r="K16" i="43" l="1"/>
  <c r="K17"/>
  <c r="D20"/>
  <c r="D21"/>
  <c r="K21"/>
  <c r="L21"/>
  <c r="K20"/>
  <c r="I20"/>
  <c r="H21"/>
  <c r="I21"/>
  <c r="W157" i="47"/>
  <c r="U157"/>
  <c r="R157"/>
  <c r="P157"/>
  <c r="N157"/>
  <c r="K157"/>
  <c r="E157"/>
  <c r="D157" s="1"/>
  <c r="W156"/>
  <c r="U156"/>
  <c r="R156"/>
  <c r="P156"/>
  <c r="N156"/>
  <c r="K156"/>
  <c r="E156"/>
  <c r="D156"/>
  <c r="W155"/>
  <c r="U155"/>
  <c r="R155"/>
  <c r="P155"/>
  <c r="N155"/>
  <c r="K155"/>
  <c r="E155"/>
  <c r="D155"/>
  <c r="W154"/>
  <c r="U154"/>
  <c r="R154"/>
  <c r="P154"/>
  <c r="N154"/>
  <c r="K154"/>
  <c r="E154"/>
  <c r="D154"/>
  <c r="W153"/>
  <c r="U153"/>
  <c r="R153"/>
  <c r="P153"/>
  <c r="N153"/>
  <c r="K153"/>
  <c r="E153"/>
  <c r="D153"/>
  <c r="W152"/>
  <c r="U152"/>
  <c r="R152"/>
  <c r="P152"/>
  <c r="N152"/>
  <c r="K152"/>
  <c r="E152"/>
  <c r="D152"/>
  <c r="W151"/>
  <c r="U151"/>
  <c r="R151"/>
  <c r="P151"/>
  <c r="N151"/>
  <c r="K151"/>
  <c r="H151"/>
  <c r="E151"/>
  <c r="D151" s="1"/>
  <c r="W150"/>
  <c r="U150"/>
  <c r="R150"/>
  <c r="P150"/>
  <c r="N150"/>
  <c r="K150"/>
  <c r="H150"/>
  <c r="E150"/>
  <c r="D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E147"/>
  <c r="D147" s="1"/>
  <c r="W146"/>
  <c r="U146"/>
  <c r="R146"/>
  <c r="P146"/>
  <c r="N146"/>
  <c r="K146"/>
  <c r="E146"/>
  <c r="D146" s="1"/>
  <c r="W145"/>
  <c r="U145"/>
  <c r="R145"/>
  <c r="P145"/>
  <c r="N145"/>
  <c r="K145"/>
  <c r="E145"/>
  <c r="D145" s="1"/>
  <c r="W144"/>
  <c r="U144"/>
  <c r="R144"/>
  <c r="P144"/>
  <c r="N144"/>
  <c r="K144"/>
  <c r="E144"/>
  <c r="D144" s="1"/>
  <c r="W143"/>
  <c r="U143"/>
  <c r="R143"/>
  <c r="P143"/>
  <c r="N143"/>
  <c r="K143"/>
  <c r="E143"/>
  <c r="D143" s="1"/>
  <c r="W142"/>
  <c r="U142"/>
  <c r="R142"/>
  <c r="P142"/>
  <c r="N142"/>
  <c r="K142"/>
  <c r="E142"/>
  <c r="D142" s="1"/>
  <c r="X141"/>
  <c r="W141"/>
  <c r="V141"/>
  <c r="U141"/>
  <c r="T141"/>
  <c r="S141"/>
  <c r="R141"/>
  <c r="Q141"/>
  <c r="P141"/>
  <c r="O141"/>
  <c r="N141"/>
  <c r="J141"/>
  <c r="H141"/>
  <c r="G141"/>
  <c r="F141"/>
  <c r="E141"/>
  <c r="D141"/>
  <c r="X140"/>
  <c r="W140"/>
  <c r="V140"/>
  <c r="U140"/>
  <c r="T140"/>
  <c r="S140"/>
  <c r="R140"/>
  <c r="Q140"/>
  <c r="P140"/>
  <c r="O140"/>
  <c r="N140"/>
  <c r="J140"/>
  <c r="H140"/>
  <c r="G140"/>
  <c r="F140"/>
  <c r="E140"/>
  <c r="D140"/>
  <c r="W139"/>
  <c r="U139"/>
  <c r="R139"/>
  <c r="P139"/>
  <c r="N139"/>
  <c r="K139"/>
  <c r="H139"/>
  <c r="E139"/>
  <c r="D139"/>
  <c r="W138"/>
  <c r="U138"/>
  <c r="R138"/>
  <c r="P138"/>
  <c r="N138"/>
  <c r="K138"/>
  <c r="H138"/>
  <c r="E138"/>
  <c r="D138" s="1"/>
  <c r="W137"/>
  <c r="U137"/>
  <c r="R137"/>
  <c r="P137"/>
  <c r="N137"/>
  <c r="K137"/>
  <c r="H137"/>
  <c r="E137"/>
  <c r="D137"/>
  <c r="W136"/>
  <c r="U136"/>
  <c r="R136"/>
  <c r="P136"/>
  <c r="N136"/>
  <c r="K136"/>
  <c r="H136"/>
  <c r="E136"/>
  <c r="D136" s="1"/>
  <c r="W135"/>
  <c r="U135"/>
  <c r="R135"/>
  <c r="P135"/>
  <c r="N135"/>
  <c r="K135"/>
  <c r="H135"/>
  <c r="E135"/>
  <c r="D135"/>
  <c r="W134"/>
  <c r="U134"/>
  <c r="R134"/>
  <c r="P134"/>
  <c r="N134"/>
  <c r="K134"/>
  <c r="H134"/>
  <c r="E134"/>
  <c r="D134" s="1"/>
  <c r="W133"/>
  <c r="U133"/>
  <c r="R133"/>
  <c r="P133"/>
  <c r="N133"/>
  <c r="K133"/>
  <c r="H133"/>
  <c r="E133"/>
  <c r="D133"/>
  <c r="W132"/>
  <c r="U132"/>
  <c r="R132"/>
  <c r="P132"/>
  <c r="N132"/>
  <c r="K132"/>
  <c r="H132"/>
  <c r="E132"/>
  <c r="D132" s="1"/>
  <c r="W131"/>
  <c r="U131"/>
  <c r="R131"/>
  <c r="P131"/>
  <c r="N131"/>
  <c r="K131"/>
  <c r="H131"/>
  <c r="E131"/>
  <c r="D131"/>
  <c r="W130"/>
  <c r="U130"/>
  <c r="R130"/>
  <c r="P130"/>
  <c r="N130"/>
  <c r="K130"/>
  <c r="H130"/>
  <c r="E130"/>
  <c r="D130" s="1"/>
  <c r="X129"/>
  <c r="W129" s="1"/>
  <c r="V129"/>
  <c r="U129" s="1"/>
  <c r="T129"/>
  <c r="S129"/>
  <c r="R129"/>
  <c r="Q129"/>
  <c r="P129"/>
  <c r="O129"/>
  <c r="N129"/>
  <c r="M129"/>
  <c r="L129"/>
  <c r="K129" s="1"/>
  <c r="J129"/>
  <c r="I129"/>
  <c r="H129"/>
  <c r="G129"/>
  <c r="F129"/>
  <c r="E129"/>
  <c r="D129"/>
  <c r="W128"/>
  <c r="U128"/>
  <c r="R128"/>
  <c r="P128"/>
  <c r="N128"/>
  <c r="K128"/>
  <c r="H128"/>
  <c r="E128"/>
  <c r="D128" s="1"/>
  <c r="W127"/>
  <c r="U127"/>
  <c r="R127"/>
  <c r="P127"/>
  <c r="N127"/>
  <c r="K127"/>
  <c r="H127"/>
  <c r="E127"/>
  <c r="D127"/>
  <c r="W126"/>
  <c r="U126"/>
  <c r="R126"/>
  <c r="P126"/>
  <c r="N126"/>
  <c r="K126"/>
  <c r="H126"/>
  <c r="E126"/>
  <c r="D126" s="1"/>
  <c r="W125"/>
  <c r="U125"/>
  <c r="R125"/>
  <c r="P125"/>
  <c r="N125"/>
  <c r="K125"/>
  <c r="H125"/>
  <c r="E125"/>
  <c r="D125"/>
  <c r="W124"/>
  <c r="U124"/>
  <c r="R124"/>
  <c r="P124"/>
  <c r="N124"/>
  <c r="K124"/>
  <c r="H124"/>
  <c r="E124"/>
  <c r="D124" s="1"/>
  <c r="W123"/>
  <c r="U123"/>
  <c r="R123"/>
  <c r="P123"/>
  <c r="N123"/>
  <c r="K123"/>
  <c r="H123"/>
  <c r="E123"/>
  <c r="D123"/>
  <c r="W122"/>
  <c r="U122"/>
  <c r="R122"/>
  <c r="P122"/>
  <c r="N122"/>
  <c r="K122"/>
  <c r="H122"/>
  <c r="E122"/>
  <c r="D122" s="1"/>
  <c r="W121"/>
  <c r="U121"/>
  <c r="R121"/>
  <c r="P121"/>
  <c r="N121"/>
  <c r="K121"/>
  <c r="H121"/>
  <c r="E121"/>
  <c r="D121"/>
  <c r="W120"/>
  <c r="U120"/>
  <c r="R120"/>
  <c r="P120"/>
  <c r="N120"/>
  <c r="K120"/>
  <c r="H120"/>
  <c r="E120"/>
  <c r="D120" s="1"/>
  <c r="W119"/>
  <c r="U119"/>
  <c r="R119"/>
  <c r="P119"/>
  <c r="N119"/>
  <c r="K119"/>
  <c r="H119"/>
  <c r="E119"/>
  <c r="D119"/>
  <c r="W118"/>
  <c r="U118"/>
  <c r="R118"/>
  <c r="P118"/>
  <c r="N118"/>
  <c r="K118"/>
  <c r="H118"/>
  <c r="E118"/>
  <c r="D118" s="1"/>
  <c r="W117"/>
  <c r="U117"/>
  <c r="R117"/>
  <c r="P117"/>
  <c r="N117"/>
  <c r="K117"/>
  <c r="H117"/>
  <c r="E117"/>
  <c r="D117"/>
  <c r="W116"/>
  <c r="U116"/>
  <c r="R116"/>
  <c r="P116"/>
  <c r="N116"/>
  <c r="K116"/>
  <c r="H116"/>
  <c r="E116"/>
  <c r="D116" s="1"/>
  <c r="W115"/>
  <c r="U115"/>
  <c r="R115"/>
  <c r="P115"/>
  <c r="N115"/>
  <c r="K115"/>
  <c r="H115"/>
  <c r="E115"/>
  <c r="D115"/>
  <c r="W114"/>
  <c r="U114"/>
  <c r="R114"/>
  <c r="P114"/>
  <c r="N114"/>
  <c r="K114"/>
  <c r="H114"/>
  <c r="E114"/>
  <c r="D114" s="1"/>
  <c r="W113"/>
  <c r="U113"/>
  <c r="R113"/>
  <c r="P113"/>
  <c r="N113"/>
  <c r="K113"/>
  <c r="H113"/>
  <c r="E113"/>
  <c r="D113"/>
  <c r="W112"/>
  <c r="U112"/>
  <c r="R112"/>
  <c r="P112"/>
  <c r="N112"/>
  <c r="K112"/>
  <c r="H112"/>
  <c r="E112"/>
  <c r="D112" s="1"/>
  <c r="W111"/>
  <c r="U111"/>
  <c r="R111"/>
  <c r="P111"/>
  <c r="N111"/>
  <c r="K111"/>
  <c r="H111"/>
  <c r="E111"/>
  <c r="D111"/>
  <c r="W110"/>
  <c r="U110"/>
  <c r="R110"/>
  <c r="P110"/>
  <c r="N110"/>
  <c r="K110"/>
  <c r="H110"/>
  <c r="E110"/>
  <c r="D110" s="1"/>
  <c r="W109"/>
  <c r="U109"/>
  <c r="R109"/>
  <c r="P109"/>
  <c r="N109"/>
  <c r="K109"/>
  <c r="H109"/>
  <c r="E109"/>
  <c r="D109"/>
  <c r="W108"/>
  <c r="U108"/>
  <c r="R108"/>
  <c r="P108"/>
  <c r="N108"/>
  <c r="K108"/>
  <c r="H108"/>
  <c r="E108"/>
  <c r="D108" s="1"/>
  <c r="W107"/>
  <c r="U107"/>
  <c r="R107"/>
  <c r="P107"/>
  <c r="N107"/>
  <c r="K107"/>
  <c r="H107"/>
  <c r="E107"/>
  <c r="D107"/>
  <c r="W106"/>
  <c r="U106"/>
  <c r="R106"/>
  <c r="P106"/>
  <c r="N106"/>
  <c r="K106"/>
  <c r="H106"/>
  <c r="E106"/>
  <c r="D106" s="1"/>
  <c r="W105"/>
  <c r="U105"/>
  <c r="R105"/>
  <c r="P105"/>
  <c r="N105"/>
  <c r="K105"/>
  <c r="H105"/>
  <c r="E105"/>
  <c r="D105"/>
  <c r="W104"/>
  <c r="U104"/>
  <c r="R104"/>
  <c r="P104"/>
  <c r="N104"/>
  <c r="K104"/>
  <c r="H104"/>
  <c r="E104"/>
  <c r="D104" s="1"/>
  <c r="W103"/>
  <c r="U103"/>
  <c r="R103"/>
  <c r="P103"/>
  <c r="N103"/>
  <c r="K103"/>
  <c r="H103"/>
  <c r="E103"/>
  <c r="D103"/>
  <c r="W98"/>
  <c r="U98"/>
  <c r="U99" s="1"/>
  <c r="R98"/>
  <c r="P98"/>
  <c r="N98"/>
  <c r="L98"/>
  <c r="K98"/>
  <c r="K95" s="1"/>
  <c r="I98"/>
  <c r="H98"/>
  <c r="I101" s="1"/>
  <c r="E98"/>
  <c r="D98"/>
  <c r="W97"/>
  <c r="U97"/>
  <c r="R97"/>
  <c r="P97"/>
  <c r="P95" s="1"/>
  <c r="N97"/>
  <c r="E97"/>
  <c r="D97"/>
  <c r="W96"/>
  <c r="U96"/>
  <c r="R96"/>
  <c r="R95" s="1"/>
  <c r="P96"/>
  <c r="N96"/>
  <c r="N95" s="1"/>
  <c r="E96"/>
  <c r="D96"/>
  <c r="X95"/>
  <c r="X99" s="1"/>
  <c r="W95"/>
  <c r="V95"/>
  <c r="V99" s="1"/>
  <c r="U95"/>
  <c r="T95"/>
  <c r="T99" s="1"/>
  <c r="S95"/>
  <c r="S99" s="1"/>
  <c r="Q95"/>
  <c r="Q99" s="1"/>
  <c r="O95"/>
  <c r="O99" s="1"/>
  <c r="L95"/>
  <c r="J95"/>
  <c r="I95"/>
  <c r="H95"/>
  <c r="G95"/>
  <c r="F95"/>
  <c r="D95"/>
  <c r="W94"/>
  <c r="U94"/>
  <c r="R94"/>
  <c r="P94"/>
  <c r="N94"/>
  <c r="E94"/>
  <c r="D94"/>
  <c r="W93"/>
  <c r="U93"/>
  <c r="R93"/>
  <c r="P93"/>
  <c r="N93"/>
  <c r="E93"/>
  <c r="D93"/>
  <c r="W92"/>
  <c r="U92"/>
  <c r="R92"/>
  <c r="P92"/>
  <c r="N92"/>
  <c r="L92"/>
  <c r="K92" s="1"/>
  <c r="I92"/>
  <c r="H92" s="1"/>
  <c r="E92"/>
  <c r="W91"/>
  <c r="U91"/>
  <c r="R91"/>
  <c r="P91"/>
  <c r="N91"/>
  <c r="L91"/>
  <c r="K91"/>
  <c r="I91"/>
  <c r="H91"/>
  <c r="E91"/>
  <c r="D91"/>
  <c r="W90"/>
  <c r="U90"/>
  <c r="R90"/>
  <c r="P90"/>
  <c r="P88" s="1"/>
  <c r="N90"/>
  <c r="E90"/>
  <c r="D90"/>
  <c r="W89"/>
  <c r="U89"/>
  <c r="R89"/>
  <c r="P89"/>
  <c r="N89"/>
  <c r="E89"/>
  <c r="D89"/>
  <c r="X88"/>
  <c r="W88"/>
  <c r="V88"/>
  <c r="U88"/>
  <c r="T88"/>
  <c r="S88"/>
  <c r="R88"/>
  <c r="Q88"/>
  <c r="O88"/>
  <c r="N88"/>
  <c r="L88"/>
  <c r="K88" s="1"/>
  <c r="I88"/>
  <c r="H88" s="1"/>
  <c r="D88" s="1"/>
  <c r="G88"/>
  <c r="F88"/>
  <c r="E88"/>
  <c r="W87"/>
  <c r="U87"/>
  <c r="R87"/>
  <c r="P87"/>
  <c r="N87"/>
  <c r="L87"/>
  <c r="K87"/>
  <c r="I87"/>
  <c r="H87"/>
  <c r="E87"/>
  <c r="D87"/>
  <c r="W86"/>
  <c r="U86"/>
  <c r="R86"/>
  <c r="P86"/>
  <c r="N86"/>
  <c r="L86"/>
  <c r="K86" s="1"/>
  <c r="I86"/>
  <c r="H86" s="1"/>
  <c r="E86"/>
  <c r="W85"/>
  <c r="U85"/>
  <c r="R85"/>
  <c r="P85"/>
  <c r="N85"/>
  <c r="I85"/>
  <c r="H85"/>
  <c r="E85"/>
  <c r="D85"/>
  <c r="W84"/>
  <c r="U84"/>
  <c r="R84"/>
  <c r="P84"/>
  <c r="N84"/>
  <c r="I84"/>
  <c r="H84" s="1"/>
  <c r="E84"/>
  <c r="W83"/>
  <c r="U83"/>
  <c r="R83"/>
  <c r="P83"/>
  <c r="N83"/>
  <c r="K83"/>
  <c r="I83"/>
  <c r="H83" s="1"/>
  <c r="E83"/>
  <c r="W82"/>
  <c r="U82"/>
  <c r="R82"/>
  <c r="P82"/>
  <c r="N82"/>
  <c r="K82"/>
  <c r="I82"/>
  <c r="H82" s="1"/>
  <c r="E82"/>
  <c r="W81"/>
  <c r="U81"/>
  <c r="R81"/>
  <c r="P81"/>
  <c r="N81"/>
  <c r="I81"/>
  <c r="H81"/>
  <c r="E81"/>
  <c r="D81"/>
  <c r="W80"/>
  <c r="U80"/>
  <c r="R80"/>
  <c r="P80"/>
  <c r="N80"/>
  <c r="I80"/>
  <c r="H80" s="1"/>
  <c r="E80"/>
  <c r="W79"/>
  <c r="U79"/>
  <c r="R79"/>
  <c r="P79"/>
  <c r="N79"/>
  <c r="I79"/>
  <c r="H79"/>
  <c r="E79"/>
  <c r="D79"/>
  <c r="W78"/>
  <c r="U78"/>
  <c r="R78"/>
  <c r="P78"/>
  <c r="N78"/>
  <c r="I78"/>
  <c r="H78" s="1"/>
  <c r="E78"/>
  <c r="W77"/>
  <c r="W75" s="1"/>
  <c r="W73" s="1"/>
  <c r="U77"/>
  <c r="R77"/>
  <c r="P77"/>
  <c r="N77"/>
  <c r="K77"/>
  <c r="I77"/>
  <c r="H77" s="1"/>
  <c r="E77"/>
  <c r="W76"/>
  <c r="U76"/>
  <c r="R76"/>
  <c r="P76"/>
  <c r="N76"/>
  <c r="K76"/>
  <c r="I76"/>
  <c r="H76" s="1"/>
  <c r="E76"/>
  <c r="X75"/>
  <c r="V75"/>
  <c r="U75"/>
  <c r="T75"/>
  <c r="S75"/>
  <c r="R75"/>
  <c r="Q75"/>
  <c r="P75"/>
  <c r="O75"/>
  <c r="N75"/>
  <c r="K75"/>
  <c r="I75"/>
  <c r="H75" s="1"/>
  <c r="H73" s="1"/>
  <c r="G75"/>
  <c r="F75"/>
  <c r="E75"/>
  <c r="X74"/>
  <c r="W74"/>
  <c r="V74"/>
  <c r="U74"/>
  <c r="T74"/>
  <c r="S74"/>
  <c r="R74"/>
  <c r="Q74"/>
  <c r="P74"/>
  <c r="O74"/>
  <c r="N74"/>
  <c r="K74"/>
  <c r="I74"/>
  <c r="H74" s="1"/>
  <c r="D74" s="1"/>
  <c r="G74"/>
  <c r="F74"/>
  <c r="E74"/>
  <c r="X73"/>
  <c r="V73"/>
  <c r="U73"/>
  <c r="T73"/>
  <c r="S73"/>
  <c r="R73"/>
  <c r="Q73"/>
  <c r="P73"/>
  <c r="O73"/>
  <c r="N73"/>
  <c r="L73"/>
  <c r="K73"/>
  <c r="J73"/>
  <c r="I73"/>
  <c r="G73"/>
  <c r="F73"/>
  <c r="E73"/>
  <c r="W72"/>
  <c r="U72"/>
  <c r="R72"/>
  <c r="P72"/>
  <c r="N72"/>
  <c r="E72"/>
  <c r="D72"/>
  <c r="W71"/>
  <c r="U71"/>
  <c r="R71"/>
  <c r="P71"/>
  <c r="N71"/>
  <c r="E71"/>
  <c r="D71"/>
  <c r="W70"/>
  <c r="U70"/>
  <c r="R70"/>
  <c r="P70"/>
  <c r="N70"/>
  <c r="E70"/>
  <c r="D70"/>
  <c r="W69"/>
  <c r="U69"/>
  <c r="R69"/>
  <c r="P69"/>
  <c r="N69"/>
  <c r="E69"/>
  <c r="D69"/>
  <c r="W68"/>
  <c r="U68"/>
  <c r="R68"/>
  <c r="P68"/>
  <c r="N68"/>
  <c r="E68"/>
  <c r="D68"/>
  <c r="W67"/>
  <c r="U67"/>
  <c r="R67"/>
  <c r="P67"/>
  <c r="N67"/>
  <c r="E67"/>
  <c r="D67"/>
  <c r="W66"/>
  <c r="U66"/>
  <c r="R66"/>
  <c r="P66"/>
  <c r="N66"/>
  <c r="E66"/>
  <c r="D66"/>
  <c r="W65"/>
  <c r="U65"/>
  <c r="R65"/>
  <c r="P65"/>
  <c r="N65"/>
  <c r="E65"/>
  <c r="D65"/>
  <c r="W64"/>
  <c r="U64"/>
  <c r="R64"/>
  <c r="P64"/>
  <c r="N64"/>
  <c r="E64"/>
  <c r="D64"/>
  <c r="W63"/>
  <c r="U63"/>
  <c r="R63"/>
  <c r="P63"/>
  <c r="N63"/>
  <c r="E63"/>
  <c r="D63"/>
  <c r="W62"/>
  <c r="U62"/>
  <c r="R62"/>
  <c r="P62"/>
  <c r="N62"/>
  <c r="E62"/>
  <c r="D62"/>
  <c r="W61"/>
  <c r="U61"/>
  <c r="R61"/>
  <c r="P61"/>
  <c r="N61"/>
  <c r="E61"/>
  <c r="D61"/>
  <c r="W60"/>
  <c r="U60"/>
  <c r="R60"/>
  <c r="P60"/>
  <c r="N60"/>
  <c r="E60"/>
  <c r="D60"/>
  <c r="W59"/>
  <c r="U59"/>
  <c r="R59"/>
  <c r="P59"/>
  <c r="N59"/>
  <c r="E59"/>
  <c r="D59"/>
  <c r="W58"/>
  <c r="U58"/>
  <c r="R58"/>
  <c r="P58"/>
  <c r="N58"/>
  <c r="J58"/>
  <c r="I58"/>
  <c r="H58" s="1"/>
  <c r="D58" s="1"/>
  <c r="E58"/>
  <c r="W57"/>
  <c r="U57"/>
  <c r="R57"/>
  <c r="P57"/>
  <c r="N57"/>
  <c r="J57"/>
  <c r="I57"/>
  <c r="H57" s="1"/>
  <c r="D57" s="1"/>
  <c r="E57"/>
  <c r="W56"/>
  <c r="U56"/>
  <c r="R56"/>
  <c r="P56"/>
  <c r="N56"/>
  <c r="L56"/>
  <c r="K56"/>
  <c r="J56"/>
  <c r="I56"/>
  <c r="H56" s="1"/>
  <c r="D56" s="1"/>
  <c r="E56"/>
  <c r="W55"/>
  <c r="U55"/>
  <c r="R55"/>
  <c r="P55"/>
  <c r="N55"/>
  <c r="L55"/>
  <c r="K55"/>
  <c r="J55"/>
  <c r="I55"/>
  <c r="H55" s="1"/>
  <c r="E55"/>
  <c r="D55"/>
  <c r="W54"/>
  <c r="U54"/>
  <c r="R54"/>
  <c r="P54"/>
  <c r="N54"/>
  <c r="I54"/>
  <c r="H54" s="1"/>
  <c r="D54" s="1"/>
  <c r="E54"/>
  <c r="W53"/>
  <c r="U53"/>
  <c r="R53"/>
  <c r="P53"/>
  <c r="N53"/>
  <c r="I53"/>
  <c r="H53"/>
  <c r="E53"/>
  <c r="D53"/>
  <c r="W52"/>
  <c r="U52"/>
  <c r="R52"/>
  <c r="P52"/>
  <c r="N52"/>
  <c r="I52"/>
  <c r="D101" s="1"/>
  <c r="E52"/>
  <c r="W51"/>
  <c r="U51"/>
  <c r="R51"/>
  <c r="P51"/>
  <c r="N51"/>
  <c r="J51"/>
  <c r="I51"/>
  <c r="H51" s="1"/>
  <c r="D51" s="1"/>
  <c r="E51"/>
  <c r="W50"/>
  <c r="U50"/>
  <c r="R50"/>
  <c r="P50"/>
  <c r="N50"/>
  <c r="E50"/>
  <c r="D50"/>
  <c r="W49"/>
  <c r="U49"/>
  <c r="R49"/>
  <c r="P49"/>
  <c r="N49"/>
  <c r="E49"/>
  <c r="D49"/>
  <c r="W48"/>
  <c r="U48"/>
  <c r="R48"/>
  <c r="P48"/>
  <c r="N48"/>
  <c r="E48"/>
  <c r="D48"/>
  <c r="W47"/>
  <c r="U47"/>
  <c r="R47"/>
  <c r="P47"/>
  <c r="N47"/>
  <c r="E47"/>
  <c r="D47"/>
  <c r="W46"/>
  <c r="U46"/>
  <c r="R46"/>
  <c r="P46"/>
  <c r="N46"/>
  <c r="H46"/>
  <c r="E46"/>
  <c r="D46"/>
  <c r="W45"/>
  <c r="U45"/>
  <c r="R45"/>
  <c r="P45"/>
  <c r="N45"/>
  <c r="H45"/>
  <c r="E45"/>
  <c r="D45"/>
  <c r="U44"/>
  <c r="R44"/>
  <c r="P44"/>
  <c r="N44"/>
  <c r="I44"/>
  <c r="H44" s="1"/>
  <c r="D44" s="1"/>
  <c r="E44"/>
  <c r="U43"/>
  <c r="R43"/>
  <c r="P43"/>
  <c r="N43"/>
  <c r="I43"/>
  <c r="H43" s="1"/>
  <c r="D43" s="1"/>
  <c r="E43"/>
  <c r="U42"/>
  <c r="R42"/>
  <c r="P42"/>
  <c r="N42"/>
  <c r="I42"/>
  <c r="H42" s="1"/>
  <c r="E42"/>
  <c r="U41"/>
  <c r="R41"/>
  <c r="P41"/>
  <c r="N41"/>
  <c r="I41"/>
  <c r="H41" s="1"/>
  <c r="E41"/>
  <c r="W40"/>
  <c r="U40"/>
  <c r="R40"/>
  <c r="P40"/>
  <c r="N40"/>
  <c r="K40"/>
  <c r="I40"/>
  <c r="H40" s="1"/>
  <c r="D40" s="1"/>
  <c r="E40"/>
  <c r="W39"/>
  <c r="U39"/>
  <c r="R39"/>
  <c r="P39"/>
  <c r="N39"/>
  <c r="K39"/>
  <c r="I39"/>
  <c r="H39" s="1"/>
  <c r="D39" s="1"/>
  <c r="E39"/>
  <c r="W38"/>
  <c r="U38"/>
  <c r="R38"/>
  <c r="P38"/>
  <c r="N38"/>
  <c r="I38"/>
  <c r="H38"/>
  <c r="E38"/>
  <c r="D38"/>
  <c r="W37"/>
  <c r="U37"/>
  <c r="R37"/>
  <c r="P37"/>
  <c r="N37"/>
  <c r="I37"/>
  <c r="H37"/>
  <c r="E37"/>
  <c r="D37"/>
  <c r="W36"/>
  <c r="U36"/>
  <c r="R36"/>
  <c r="P36"/>
  <c r="N36"/>
  <c r="I36"/>
  <c r="H36" s="1"/>
  <c r="D36" s="1"/>
  <c r="E36"/>
  <c r="W35"/>
  <c r="U35"/>
  <c r="R35"/>
  <c r="P35"/>
  <c r="L35"/>
  <c r="K35" s="1"/>
  <c r="D35" s="1"/>
  <c r="J35"/>
  <c r="I35"/>
  <c r="H35"/>
  <c r="E35"/>
  <c r="W34"/>
  <c r="U34"/>
  <c r="R34"/>
  <c r="P34"/>
  <c r="L34"/>
  <c r="K34"/>
  <c r="J34"/>
  <c r="I34"/>
  <c r="H34" s="1"/>
  <c r="E34"/>
  <c r="W33"/>
  <c r="U33"/>
  <c r="R33"/>
  <c r="P33"/>
  <c r="N33"/>
  <c r="I33"/>
  <c r="H33"/>
  <c r="E33"/>
  <c r="D33"/>
  <c r="W32"/>
  <c r="U32"/>
  <c r="R32"/>
  <c r="P32"/>
  <c r="N32"/>
  <c r="E32"/>
  <c r="D32"/>
  <c r="W31"/>
  <c r="U31"/>
  <c r="R31"/>
  <c r="P31"/>
  <c r="N31"/>
  <c r="E31"/>
  <c r="D31"/>
  <c r="W30"/>
  <c r="U30"/>
  <c r="R30"/>
  <c r="P30"/>
  <c r="N30"/>
  <c r="E30"/>
  <c r="D30"/>
  <c r="W29"/>
  <c r="U29"/>
  <c r="R29"/>
  <c r="P29"/>
  <c r="N29"/>
  <c r="E29"/>
  <c r="D29"/>
  <c r="W28"/>
  <c r="U28"/>
  <c r="R28"/>
  <c r="P28"/>
  <c r="N28"/>
  <c r="H28"/>
  <c r="E28"/>
  <c r="D28"/>
  <c r="W27"/>
  <c r="U27"/>
  <c r="R27"/>
  <c r="P27"/>
  <c r="N27"/>
  <c r="H27"/>
  <c r="E27"/>
  <c r="D27"/>
  <c r="W26"/>
  <c r="U26"/>
  <c r="R26"/>
  <c r="P26"/>
  <c r="N26"/>
  <c r="I26"/>
  <c r="H26"/>
  <c r="E26"/>
  <c r="D26"/>
  <c r="W25"/>
  <c r="U25"/>
  <c r="R25"/>
  <c r="P25"/>
  <c r="N25"/>
  <c r="I25"/>
  <c r="H25" s="1"/>
  <c r="D25" s="1"/>
  <c r="E25"/>
  <c r="W24"/>
  <c r="U24"/>
  <c r="R24"/>
  <c r="P24"/>
  <c r="N24"/>
  <c r="I24"/>
  <c r="H24"/>
  <c r="E24"/>
  <c r="D24"/>
  <c r="W23"/>
  <c r="U23"/>
  <c r="R23"/>
  <c r="P23"/>
  <c r="N23"/>
  <c r="I23"/>
  <c r="H23" s="1"/>
  <c r="D23" s="1"/>
  <c r="E23"/>
  <c r="W22"/>
  <c r="U22"/>
  <c r="R22"/>
  <c r="P22"/>
  <c r="N22"/>
  <c r="E22"/>
  <c r="D22"/>
  <c r="W21"/>
  <c r="U21"/>
  <c r="R21"/>
  <c r="P21"/>
  <c r="N21"/>
  <c r="I21"/>
  <c r="H21"/>
  <c r="E21"/>
  <c r="D21"/>
  <c r="W20"/>
  <c r="U20"/>
  <c r="R20"/>
  <c r="P20"/>
  <c r="N20"/>
  <c r="I20"/>
  <c r="H20"/>
  <c r="E20"/>
  <c r="D20"/>
  <c r="W19"/>
  <c r="U19"/>
  <c r="R19"/>
  <c r="P19"/>
  <c r="N19"/>
  <c r="I19"/>
  <c r="H19" s="1"/>
  <c r="D19" s="1"/>
  <c r="E19"/>
  <c r="W18"/>
  <c r="U18"/>
  <c r="R18"/>
  <c r="P18"/>
  <c r="N18"/>
  <c r="I18"/>
  <c r="H18"/>
  <c r="E18"/>
  <c r="D18"/>
  <c r="X17"/>
  <c r="W17"/>
  <c r="V17"/>
  <c r="U17"/>
  <c r="T17"/>
  <c r="S17"/>
  <c r="R17"/>
  <c r="Q17"/>
  <c r="P17"/>
  <c r="O17"/>
  <c r="N17"/>
  <c r="I17"/>
  <c r="H17" s="1"/>
  <c r="D17" s="1"/>
  <c r="G17"/>
  <c r="F17"/>
  <c r="E17"/>
  <c r="X16"/>
  <c r="W16"/>
  <c r="V16"/>
  <c r="U16"/>
  <c r="T16"/>
  <c r="S16"/>
  <c r="R16"/>
  <c r="Q16"/>
  <c r="P16"/>
  <c r="O16"/>
  <c r="N16"/>
  <c r="I16"/>
  <c r="H16"/>
  <c r="G16"/>
  <c r="F16"/>
  <c r="E16" s="1"/>
  <c r="D16"/>
  <c r="K15"/>
  <c r="I15"/>
  <c r="H15" s="1"/>
  <c r="D15" s="1"/>
  <c r="E15"/>
  <c r="L14"/>
  <c r="K14" s="1"/>
  <c r="J14"/>
  <c r="I14"/>
  <c r="H14" s="1"/>
  <c r="G14"/>
  <c r="F14"/>
  <c r="E14"/>
  <c r="D41" l="1"/>
  <c r="D42"/>
  <c r="D14" s="1"/>
  <c r="H52"/>
  <c r="D52" s="1"/>
  <c r="D92"/>
  <c r="F99"/>
  <c r="H99"/>
  <c r="J99"/>
  <c r="P99"/>
  <c r="N99"/>
  <c r="R99"/>
  <c r="W99"/>
  <c r="D34"/>
  <c r="G99"/>
  <c r="I99"/>
  <c r="L99"/>
  <c r="K99" s="1"/>
  <c r="M101" s="1"/>
  <c r="D76"/>
  <c r="D77"/>
  <c r="D78"/>
  <c r="D80"/>
  <c r="D82"/>
  <c r="D83"/>
  <c r="D84"/>
  <c r="D86"/>
  <c r="E95"/>
  <c r="I14" i="46"/>
  <c r="I99" s="1"/>
  <c r="I17"/>
  <c r="K99"/>
  <c r="L99"/>
  <c r="H17"/>
  <c r="H14" s="1"/>
  <c r="E99" i="47" l="1"/>
  <c r="D75"/>
  <c r="D73" s="1"/>
  <c r="D99" s="1"/>
  <c r="E100" s="1"/>
  <c r="J101" s="1"/>
  <c r="L14" i="46"/>
  <c r="K14"/>
  <c r="K40"/>
  <c r="H16"/>
  <c r="I16"/>
  <c r="H15"/>
  <c r="H40"/>
  <c r="H39"/>
  <c r="H38"/>
  <c r="D38"/>
  <c r="K38"/>
  <c r="H37" l="1"/>
  <c r="H99" s="1"/>
  <c r="D99" s="1"/>
  <c r="H75"/>
  <c r="I75"/>
  <c r="K75"/>
  <c r="L75"/>
  <c r="H74"/>
  <c r="I74"/>
  <c r="L82"/>
  <c r="L74"/>
  <c r="I73"/>
  <c r="K73"/>
  <c r="L73"/>
  <c r="H95"/>
  <c r="I88"/>
  <c r="L88"/>
  <c r="H44"/>
  <c r="H43"/>
  <c r="H36"/>
  <c r="D36" s="1"/>
  <c r="D86"/>
  <c r="D87"/>
  <c r="D89"/>
  <c r="D90"/>
  <c r="D91"/>
  <c r="D92"/>
  <c r="D93"/>
  <c r="D94"/>
  <c r="H88"/>
  <c r="H89"/>
  <c r="H90"/>
  <c r="H91"/>
  <c r="H92"/>
  <c r="H93"/>
  <c r="H94"/>
  <c r="K88"/>
  <c r="D88" s="1"/>
  <c r="K89"/>
  <c r="K90"/>
  <c r="K91"/>
  <c r="K92"/>
  <c r="K93"/>
  <c r="K94"/>
  <c r="K95"/>
  <c r="K96"/>
  <c r="K97"/>
  <c r="K98"/>
  <c r="K87"/>
  <c r="D80"/>
  <c r="D81"/>
  <c r="D83"/>
  <c r="D84"/>
  <c r="D85"/>
  <c r="H86"/>
  <c r="H87"/>
  <c r="H85"/>
  <c r="H84"/>
  <c r="H83"/>
  <c r="H82"/>
  <c r="H81"/>
  <c r="H80"/>
  <c r="K82"/>
  <c r="K74" s="1"/>
  <c r="K81"/>
  <c r="K80"/>
  <c r="D79"/>
  <c r="H79"/>
  <c r="K79"/>
  <c r="H78"/>
  <c r="K78"/>
  <c r="D77"/>
  <c r="H77"/>
  <c r="K77"/>
  <c r="D75"/>
  <c r="H73"/>
  <c r="D73" s="1"/>
  <c r="H76"/>
  <c r="K76"/>
  <c r="K56"/>
  <c r="H56"/>
  <c r="K55"/>
  <c r="H55"/>
  <c r="H52"/>
  <c r="H51"/>
  <c r="H46"/>
  <c r="H45"/>
  <c r="D34"/>
  <c r="H35"/>
  <c r="H34"/>
  <c r="H19"/>
  <c r="H18"/>
  <c r="I94"/>
  <c r="I93"/>
  <c r="I92"/>
  <c r="I91"/>
  <c r="I90"/>
  <c r="I89"/>
  <c r="I87"/>
  <c r="I86"/>
  <c r="I81"/>
  <c r="I80"/>
  <c r="I85"/>
  <c r="I84"/>
  <c r="L92"/>
  <c r="L91"/>
  <c r="K85"/>
  <c r="K84"/>
  <c r="L85"/>
  <c r="L84"/>
  <c r="L87"/>
  <c r="L86"/>
  <c r="L55"/>
  <c r="I55"/>
  <c r="I56"/>
  <c r="L56"/>
  <c r="L81"/>
  <c r="L80"/>
  <c r="I35"/>
  <c r="I34"/>
  <c r="I83"/>
  <c r="I82"/>
  <c r="I98"/>
  <c r="I79"/>
  <c r="I78"/>
  <c r="K35"/>
  <c r="K34"/>
  <c r="L35"/>
  <c r="L34"/>
  <c r="I46"/>
  <c r="I45"/>
  <c r="I51"/>
  <c r="I77"/>
  <c r="I76"/>
  <c r="I52"/>
  <c r="D82" l="1"/>
  <c r="L94"/>
  <c r="L93"/>
  <c r="L79"/>
  <c r="L78"/>
  <c r="D76"/>
  <c r="L76"/>
  <c r="L77"/>
  <c r="L83"/>
  <c r="I44"/>
  <c r="I43"/>
  <c r="D14"/>
  <c r="W157"/>
  <c r="U157"/>
  <c r="R157"/>
  <c r="P157"/>
  <c r="N157"/>
  <c r="K157"/>
  <c r="E157"/>
  <c r="D157" s="1"/>
  <c r="W156"/>
  <c r="U156"/>
  <c r="R156"/>
  <c r="P156"/>
  <c r="N156"/>
  <c r="K156"/>
  <c r="E156"/>
  <c r="W155"/>
  <c r="U155"/>
  <c r="R155"/>
  <c r="P155"/>
  <c r="N155"/>
  <c r="K155"/>
  <c r="E155"/>
  <c r="D155"/>
  <c r="W154"/>
  <c r="U154"/>
  <c r="R154"/>
  <c r="P154"/>
  <c r="N154"/>
  <c r="K154"/>
  <c r="E154"/>
  <c r="D154"/>
  <c r="W153"/>
  <c r="U153"/>
  <c r="R153"/>
  <c r="P153"/>
  <c r="N153"/>
  <c r="K153"/>
  <c r="E153"/>
  <c r="D153"/>
  <c r="W152"/>
  <c r="U152"/>
  <c r="R152"/>
  <c r="P152"/>
  <c r="N152"/>
  <c r="K152"/>
  <c r="E152"/>
  <c r="D152"/>
  <c r="W151"/>
  <c r="U151"/>
  <c r="R151"/>
  <c r="P151"/>
  <c r="N151"/>
  <c r="E151"/>
  <c r="D151" s="1"/>
  <c r="W150"/>
  <c r="U150"/>
  <c r="R150"/>
  <c r="P150"/>
  <c r="N150"/>
  <c r="E150"/>
  <c r="D150" s="1"/>
  <c r="W149"/>
  <c r="U149"/>
  <c r="R149"/>
  <c r="P149"/>
  <c r="N149"/>
  <c r="K149"/>
  <c r="E149"/>
  <c r="E141" s="1"/>
  <c r="W148"/>
  <c r="U148"/>
  <c r="U140" s="1"/>
  <c r="R148"/>
  <c r="P148"/>
  <c r="N148"/>
  <c r="K148"/>
  <c r="E148"/>
  <c r="W147"/>
  <c r="U147"/>
  <c r="R147"/>
  <c r="R141" s="1"/>
  <c r="P147"/>
  <c r="N147"/>
  <c r="N141" s="1"/>
  <c r="E147"/>
  <c r="W146"/>
  <c r="U146"/>
  <c r="R146"/>
  <c r="P146"/>
  <c r="N146"/>
  <c r="K146"/>
  <c r="E146"/>
  <c r="D146" s="1"/>
  <c r="W145"/>
  <c r="U145"/>
  <c r="R145"/>
  <c r="P145"/>
  <c r="N145"/>
  <c r="K145"/>
  <c r="E145"/>
  <c r="W144"/>
  <c r="U144"/>
  <c r="R144"/>
  <c r="P144"/>
  <c r="N144"/>
  <c r="K144"/>
  <c r="E144"/>
  <c r="D144" s="1"/>
  <c r="W143"/>
  <c r="U143"/>
  <c r="R143"/>
  <c r="P143"/>
  <c r="P141" s="1"/>
  <c r="N143"/>
  <c r="K143"/>
  <c r="E143"/>
  <c r="W142"/>
  <c r="W140" s="1"/>
  <c r="U142"/>
  <c r="R142"/>
  <c r="P142"/>
  <c r="N142"/>
  <c r="K142"/>
  <c r="E142"/>
  <c r="D142" s="1"/>
  <c r="X141"/>
  <c r="W141"/>
  <c r="V141"/>
  <c r="U141"/>
  <c r="T141"/>
  <c r="S141"/>
  <c r="Q141"/>
  <c r="O141"/>
  <c r="K141"/>
  <c r="J141"/>
  <c r="D141"/>
  <c r="G141"/>
  <c r="F141"/>
  <c r="X140"/>
  <c r="V140"/>
  <c r="T140"/>
  <c r="S140"/>
  <c r="R140"/>
  <c r="Q140"/>
  <c r="P140"/>
  <c r="O140"/>
  <c r="N140"/>
  <c r="K140"/>
  <c r="J140"/>
  <c r="D140"/>
  <c r="G140"/>
  <c r="F140"/>
  <c r="E140"/>
  <c r="W139"/>
  <c r="U139"/>
  <c r="R139"/>
  <c r="P139"/>
  <c r="N139"/>
  <c r="K139"/>
  <c r="H139"/>
  <c r="E139"/>
  <c r="D139" s="1"/>
  <c r="W138"/>
  <c r="U138"/>
  <c r="R138"/>
  <c r="P138"/>
  <c r="N138"/>
  <c r="K138"/>
  <c r="H138"/>
  <c r="E138"/>
  <c r="W137"/>
  <c r="U137"/>
  <c r="R137"/>
  <c r="P137"/>
  <c r="N137"/>
  <c r="K137"/>
  <c r="H137"/>
  <c r="E137"/>
  <c r="D137"/>
  <c r="W136"/>
  <c r="U136"/>
  <c r="R136"/>
  <c r="P136"/>
  <c r="N136"/>
  <c r="K136"/>
  <c r="H136"/>
  <c r="E136"/>
  <c r="D136" s="1"/>
  <c r="W135"/>
  <c r="U135"/>
  <c r="R135"/>
  <c r="P135"/>
  <c r="N135"/>
  <c r="K135"/>
  <c r="H135"/>
  <c r="E135"/>
  <c r="D135" s="1"/>
  <c r="W134"/>
  <c r="U134"/>
  <c r="R134"/>
  <c r="P134"/>
  <c r="N134"/>
  <c r="K134"/>
  <c r="H134"/>
  <c r="E134"/>
  <c r="W133"/>
  <c r="U133"/>
  <c r="R133"/>
  <c r="P133"/>
  <c r="N133"/>
  <c r="K133"/>
  <c r="H133"/>
  <c r="E133"/>
  <c r="D133"/>
  <c r="W132"/>
  <c r="U132"/>
  <c r="R132"/>
  <c r="P132"/>
  <c r="N132"/>
  <c r="K132"/>
  <c r="H132"/>
  <c r="E132"/>
  <c r="D132" s="1"/>
  <c r="W131"/>
  <c r="U131"/>
  <c r="R131"/>
  <c r="P131"/>
  <c r="N131"/>
  <c r="K131"/>
  <c r="H131"/>
  <c r="E131"/>
  <c r="D131" s="1"/>
  <c r="D129" s="1"/>
  <c r="W130"/>
  <c r="U130"/>
  <c r="R130"/>
  <c r="P130"/>
  <c r="N130"/>
  <c r="K130"/>
  <c r="H130"/>
  <c r="E130"/>
  <c r="X129"/>
  <c r="W129" s="1"/>
  <c r="V129"/>
  <c r="U129" s="1"/>
  <c r="T129"/>
  <c r="S129"/>
  <c r="R129"/>
  <c r="Q129"/>
  <c r="P129"/>
  <c r="O129"/>
  <c r="N129"/>
  <c r="M129"/>
  <c r="L129"/>
  <c r="K129" s="1"/>
  <c r="J129"/>
  <c r="I129"/>
  <c r="H129" s="1"/>
  <c r="G129"/>
  <c r="F129"/>
  <c r="E129"/>
  <c r="W128"/>
  <c r="U128"/>
  <c r="R128"/>
  <c r="P128"/>
  <c r="N128"/>
  <c r="K128"/>
  <c r="H128"/>
  <c r="E128"/>
  <c r="W127"/>
  <c r="U127"/>
  <c r="R127"/>
  <c r="P127"/>
  <c r="N127"/>
  <c r="K127"/>
  <c r="H127"/>
  <c r="E127"/>
  <c r="D127"/>
  <c r="W126"/>
  <c r="U126"/>
  <c r="R126"/>
  <c r="P126"/>
  <c r="N126"/>
  <c r="K126"/>
  <c r="H126"/>
  <c r="E126"/>
  <c r="D126" s="1"/>
  <c r="W125"/>
  <c r="U125"/>
  <c r="R125"/>
  <c r="P125"/>
  <c r="N125"/>
  <c r="K125"/>
  <c r="H125"/>
  <c r="E125"/>
  <c r="D125" s="1"/>
  <c r="W124"/>
  <c r="U124"/>
  <c r="R124"/>
  <c r="P124"/>
  <c r="N124"/>
  <c r="K124"/>
  <c r="H124"/>
  <c r="E124"/>
  <c r="W123"/>
  <c r="U123"/>
  <c r="R123"/>
  <c r="P123"/>
  <c r="N123"/>
  <c r="K123"/>
  <c r="H123"/>
  <c r="E123"/>
  <c r="D123"/>
  <c r="W122"/>
  <c r="U122"/>
  <c r="R122"/>
  <c r="P122"/>
  <c r="N122"/>
  <c r="K122"/>
  <c r="H122"/>
  <c r="E122"/>
  <c r="D122" s="1"/>
  <c r="W121"/>
  <c r="U121"/>
  <c r="R121"/>
  <c r="P121"/>
  <c r="N121"/>
  <c r="K121"/>
  <c r="H121"/>
  <c r="E121"/>
  <c r="D121" s="1"/>
  <c r="W120"/>
  <c r="U120"/>
  <c r="R120"/>
  <c r="P120"/>
  <c r="N120"/>
  <c r="K120"/>
  <c r="H120"/>
  <c r="E120"/>
  <c r="W119"/>
  <c r="U119"/>
  <c r="R119"/>
  <c r="P119"/>
  <c r="N119"/>
  <c r="K119"/>
  <c r="H119"/>
  <c r="E119"/>
  <c r="D119"/>
  <c r="W118"/>
  <c r="U118"/>
  <c r="R118"/>
  <c r="P118"/>
  <c r="N118"/>
  <c r="K118"/>
  <c r="H118"/>
  <c r="E118"/>
  <c r="D118" s="1"/>
  <c r="W117"/>
  <c r="U117"/>
  <c r="R117"/>
  <c r="P117"/>
  <c r="N117"/>
  <c r="K117"/>
  <c r="H117"/>
  <c r="E117"/>
  <c r="D117" s="1"/>
  <c r="W116"/>
  <c r="U116"/>
  <c r="R116"/>
  <c r="P116"/>
  <c r="N116"/>
  <c r="K116"/>
  <c r="H116"/>
  <c r="E116"/>
  <c r="W115"/>
  <c r="U115"/>
  <c r="R115"/>
  <c r="P115"/>
  <c r="N115"/>
  <c r="K115"/>
  <c r="H115"/>
  <c r="E115"/>
  <c r="D115"/>
  <c r="W114"/>
  <c r="U114"/>
  <c r="R114"/>
  <c r="P114"/>
  <c r="N114"/>
  <c r="K114"/>
  <c r="H114"/>
  <c r="E114"/>
  <c r="D114" s="1"/>
  <c r="W113"/>
  <c r="U113"/>
  <c r="R113"/>
  <c r="P113"/>
  <c r="N113"/>
  <c r="K113"/>
  <c r="H113"/>
  <c r="E113"/>
  <c r="D113" s="1"/>
  <c r="W112"/>
  <c r="U112"/>
  <c r="R112"/>
  <c r="P112"/>
  <c r="N112"/>
  <c r="K112"/>
  <c r="H112"/>
  <c r="E112"/>
  <c r="W111"/>
  <c r="U111"/>
  <c r="R111"/>
  <c r="P111"/>
  <c r="N111"/>
  <c r="K111"/>
  <c r="H111"/>
  <c r="E111"/>
  <c r="D111"/>
  <c r="W110"/>
  <c r="U110"/>
  <c r="R110"/>
  <c r="P110"/>
  <c r="N110"/>
  <c r="K110"/>
  <c r="H110"/>
  <c r="E110"/>
  <c r="D110" s="1"/>
  <c r="W109"/>
  <c r="U109"/>
  <c r="R109"/>
  <c r="P109"/>
  <c r="N109"/>
  <c r="K109"/>
  <c r="H109"/>
  <c r="E109"/>
  <c r="D109" s="1"/>
  <c r="W108"/>
  <c r="U108"/>
  <c r="R108"/>
  <c r="P108"/>
  <c r="N108"/>
  <c r="K108"/>
  <c r="H108"/>
  <c r="E108"/>
  <c r="W107"/>
  <c r="U107"/>
  <c r="R107"/>
  <c r="P107"/>
  <c r="N107"/>
  <c r="K107"/>
  <c r="H107"/>
  <c r="E107"/>
  <c r="D107"/>
  <c r="W106"/>
  <c r="U106"/>
  <c r="R106"/>
  <c r="P106"/>
  <c r="N106"/>
  <c r="K106"/>
  <c r="H106"/>
  <c r="E106"/>
  <c r="D106" s="1"/>
  <c r="W105"/>
  <c r="U105"/>
  <c r="R105"/>
  <c r="P105"/>
  <c r="N105"/>
  <c r="K105"/>
  <c r="H105"/>
  <c r="E105"/>
  <c r="D105" s="1"/>
  <c r="W104"/>
  <c r="U104"/>
  <c r="R104"/>
  <c r="P104"/>
  <c r="N104"/>
  <c r="K104"/>
  <c r="H104"/>
  <c r="E104"/>
  <c r="W103"/>
  <c r="U103"/>
  <c r="R103"/>
  <c r="P103"/>
  <c r="N103"/>
  <c r="K103"/>
  <c r="H103"/>
  <c r="E103"/>
  <c r="D103"/>
  <c r="W98"/>
  <c r="U98"/>
  <c r="R98"/>
  <c r="P98"/>
  <c r="N98"/>
  <c r="E98"/>
  <c r="W97"/>
  <c r="W95" s="1"/>
  <c r="U97"/>
  <c r="R97"/>
  <c r="P97"/>
  <c r="N97"/>
  <c r="E97"/>
  <c r="D97"/>
  <c r="W96"/>
  <c r="U96"/>
  <c r="U95" s="1"/>
  <c r="R96"/>
  <c r="P96"/>
  <c r="N96"/>
  <c r="E96"/>
  <c r="D96"/>
  <c r="X95"/>
  <c r="V95"/>
  <c r="T95"/>
  <c r="S95"/>
  <c r="R95"/>
  <c r="Q95"/>
  <c r="P95"/>
  <c r="O95"/>
  <c r="N95"/>
  <c r="G95"/>
  <c r="F95"/>
  <c r="W94"/>
  <c r="U94"/>
  <c r="R94"/>
  <c r="P94"/>
  <c r="N94"/>
  <c r="E94"/>
  <c r="W93"/>
  <c r="U93"/>
  <c r="R93"/>
  <c r="P93"/>
  <c r="N93"/>
  <c r="E93"/>
  <c r="W92"/>
  <c r="U92"/>
  <c r="R92"/>
  <c r="P92"/>
  <c r="N92"/>
  <c r="E92"/>
  <c r="W91"/>
  <c r="U91"/>
  <c r="R91"/>
  <c r="P91"/>
  <c r="N91"/>
  <c r="E91"/>
  <c r="W90"/>
  <c r="W88" s="1"/>
  <c r="U90"/>
  <c r="U88" s="1"/>
  <c r="R90"/>
  <c r="P90"/>
  <c r="N90"/>
  <c r="E90"/>
  <c r="W89"/>
  <c r="U89"/>
  <c r="R89"/>
  <c r="P89"/>
  <c r="N89"/>
  <c r="E89"/>
  <c r="X88"/>
  <c r="V88"/>
  <c r="T88"/>
  <c r="S88"/>
  <c r="R88"/>
  <c r="Q88"/>
  <c r="P88"/>
  <c r="O88"/>
  <c r="N88"/>
  <c r="G88"/>
  <c r="F88"/>
  <c r="E88" s="1"/>
  <c r="W87"/>
  <c r="U87"/>
  <c r="R87"/>
  <c r="P87"/>
  <c r="N87"/>
  <c r="E87"/>
  <c r="W86"/>
  <c r="U86"/>
  <c r="R86"/>
  <c r="P86"/>
  <c r="N86"/>
  <c r="E86"/>
  <c r="W85"/>
  <c r="U85"/>
  <c r="R85"/>
  <c r="P85"/>
  <c r="N85"/>
  <c r="E85"/>
  <c r="W84"/>
  <c r="U84"/>
  <c r="R84"/>
  <c r="P84"/>
  <c r="N84"/>
  <c r="E84"/>
  <c r="W83"/>
  <c r="U83"/>
  <c r="U75" s="1"/>
  <c r="U73" s="1"/>
  <c r="R83"/>
  <c r="P83"/>
  <c r="N83"/>
  <c r="K83"/>
  <c r="E83"/>
  <c r="W82"/>
  <c r="U82"/>
  <c r="R82"/>
  <c r="P82"/>
  <c r="N82"/>
  <c r="E82"/>
  <c r="W81"/>
  <c r="U81"/>
  <c r="R81"/>
  <c r="P81"/>
  <c r="N81"/>
  <c r="E81"/>
  <c r="W80"/>
  <c r="U80"/>
  <c r="R80"/>
  <c r="P80"/>
  <c r="N80"/>
  <c r="E80"/>
  <c r="W79"/>
  <c r="U79"/>
  <c r="R79"/>
  <c r="P79"/>
  <c r="N79"/>
  <c r="E79"/>
  <c r="W78"/>
  <c r="W74" s="1"/>
  <c r="U78"/>
  <c r="R78"/>
  <c r="P78"/>
  <c r="N78"/>
  <c r="E78"/>
  <c r="D78"/>
  <c r="W77"/>
  <c r="W75" s="1"/>
  <c r="W73" s="1"/>
  <c r="U77"/>
  <c r="R77"/>
  <c r="P77"/>
  <c r="N77"/>
  <c r="E77"/>
  <c r="W76"/>
  <c r="U76"/>
  <c r="U74" s="1"/>
  <c r="R76"/>
  <c r="P76"/>
  <c r="N76"/>
  <c r="E76"/>
  <c r="X75"/>
  <c r="V75"/>
  <c r="T75"/>
  <c r="S75"/>
  <c r="R75"/>
  <c r="Q75"/>
  <c r="P75"/>
  <c r="O75"/>
  <c r="N75"/>
  <c r="G75"/>
  <c r="F75"/>
  <c r="E75" s="1"/>
  <c r="X74"/>
  <c r="V74"/>
  <c r="T74"/>
  <c r="S74"/>
  <c r="R74"/>
  <c r="Q74"/>
  <c r="P74"/>
  <c r="O74"/>
  <c r="N74"/>
  <c r="G74"/>
  <c r="F74"/>
  <c r="E74" s="1"/>
  <c r="D74"/>
  <c r="X73"/>
  <c r="V73"/>
  <c r="T73"/>
  <c r="S73"/>
  <c r="R73"/>
  <c r="Q73"/>
  <c r="P73"/>
  <c r="O73"/>
  <c r="N73"/>
  <c r="G73"/>
  <c r="F73"/>
  <c r="E73" s="1"/>
  <c r="W72"/>
  <c r="U72"/>
  <c r="R72"/>
  <c r="P72"/>
  <c r="N72"/>
  <c r="E72"/>
  <c r="D72"/>
  <c r="W71"/>
  <c r="U71"/>
  <c r="R71"/>
  <c r="P71"/>
  <c r="N71"/>
  <c r="E71"/>
  <c r="D71"/>
  <c r="W70"/>
  <c r="U70"/>
  <c r="R70"/>
  <c r="P70"/>
  <c r="N70"/>
  <c r="E70"/>
  <c r="D70"/>
  <c r="W69"/>
  <c r="U69"/>
  <c r="R69"/>
  <c r="P69"/>
  <c r="N69"/>
  <c r="E69"/>
  <c r="D69"/>
  <c r="W68"/>
  <c r="U68"/>
  <c r="R68"/>
  <c r="P68"/>
  <c r="N68"/>
  <c r="E68"/>
  <c r="D68"/>
  <c r="W67"/>
  <c r="U67"/>
  <c r="R67"/>
  <c r="P67"/>
  <c r="N67"/>
  <c r="E67"/>
  <c r="D67"/>
  <c r="W66"/>
  <c r="U66"/>
  <c r="R66"/>
  <c r="P66"/>
  <c r="N66"/>
  <c r="E66"/>
  <c r="D66"/>
  <c r="W65"/>
  <c r="U65"/>
  <c r="R65"/>
  <c r="P65"/>
  <c r="N65"/>
  <c r="E65"/>
  <c r="D65"/>
  <c r="W64"/>
  <c r="U64"/>
  <c r="R64"/>
  <c r="P64"/>
  <c r="N64"/>
  <c r="E64"/>
  <c r="D64"/>
  <c r="W63"/>
  <c r="U63"/>
  <c r="R63"/>
  <c r="P63"/>
  <c r="N63"/>
  <c r="E63"/>
  <c r="D63"/>
  <c r="W62"/>
  <c r="U62"/>
  <c r="R62"/>
  <c r="P62"/>
  <c r="N62"/>
  <c r="E62"/>
  <c r="D62"/>
  <c r="W61"/>
  <c r="U61"/>
  <c r="R61"/>
  <c r="P61"/>
  <c r="N61"/>
  <c r="E61"/>
  <c r="D61"/>
  <c r="W60"/>
  <c r="U60"/>
  <c r="R60"/>
  <c r="P60"/>
  <c r="N60"/>
  <c r="E60"/>
  <c r="D60"/>
  <c r="W59"/>
  <c r="U59"/>
  <c r="R59"/>
  <c r="P59"/>
  <c r="N59"/>
  <c r="E59"/>
  <c r="D59"/>
  <c r="W58"/>
  <c r="U58"/>
  <c r="R58"/>
  <c r="P58"/>
  <c r="N58"/>
  <c r="E58"/>
  <c r="D58"/>
  <c r="W57"/>
  <c r="U57"/>
  <c r="R57"/>
  <c r="P57"/>
  <c r="N57"/>
  <c r="E57"/>
  <c r="D57"/>
  <c r="W56"/>
  <c r="U56"/>
  <c r="R56"/>
  <c r="P56"/>
  <c r="N56"/>
  <c r="E56"/>
  <c r="D56"/>
  <c r="W55"/>
  <c r="U55"/>
  <c r="R55"/>
  <c r="P55"/>
  <c r="N55"/>
  <c r="D55"/>
  <c r="E55"/>
  <c r="W54"/>
  <c r="U54"/>
  <c r="R54"/>
  <c r="P54"/>
  <c r="N54"/>
  <c r="E54"/>
  <c r="D54"/>
  <c r="W53"/>
  <c r="U53"/>
  <c r="R53"/>
  <c r="P53"/>
  <c r="N53"/>
  <c r="D53"/>
  <c r="E53"/>
  <c r="W52"/>
  <c r="U52"/>
  <c r="R52"/>
  <c r="P52"/>
  <c r="N52"/>
  <c r="D101"/>
  <c r="E52"/>
  <c r="D52"/>
  <c r="W51"/>
  <c r="U51"/>
  <c r="R51"/>
  <c r="P51"/>
  <c r="N51"/>
  <c r="D51"/>
  <c r="E51"/>
  <c r="W50"/>
  <c r="U50"/>
  <c r="R50"/>
  <c r="P50"/>
  <c r="N50"/>
  <c r="E50"/>
  <c r="D50"/>
  <c r="W49"/>
  <c r="U49"/>
  <c r="R49"/>
  <c r="P49"/>
  <c r="N49"/>
  <c r="E49"/>
  <c r="D49"/>
  <c r="W48"/>
  <c r="U48"/>
  <c r="R48"/>
  <c r="P48"/>
  <c r="N48"/>
  <c r="E48"/>
  <c r="D48"/>
  <c r="W47"/>
  <c r="U47"/>
  <c r="R47"/>
  <c r="P47"/>
  <c r="N47"/>
  <c r="E47"/>
  <c r="D47"/>
  <c r="W46"/>
  <c r="U46"/>
  <c r="R46"/>
  <c r="P46"/>
  <c r="N46"/>
  <c r="E46"/>
  <c r="W45"/>
  <c r="U45"/>
  <c r="R45"/>
  <c r="P45"/>
  <c r="N45"/>
  <c r="E45"/>
  <c r="U44"/>
  <c r="R44"/>
  <c r="P44"/>
  <c r="N44"/>
  <c r="D44"/>
  <c r="E44"/>
  <c r="U43"/>
  <c r="R43"/>
  <c r="P43"/>
  <c r="N43"/>
  <c r="D43"/>
  <c r="E43"/>
  <c r="U42"/>
  <c r="R42"/>
  <c r="P42"/>
  <c r="N42"/>
  <c r="E42"/>
  <c r="D42"/>
  <c r="U41"/>
  <c r="R41"/>
  <c r="P41"/>
  <c r="N41"/>
  <c r="E41"/>
  <c r="D41"/>
  <c r="W40"/>
  <c r="U40"/>
  <c r="R40"/>
  <c r="P40"/>
  <c r="N40"/>
  <c r="D40"/>
  <c r="E40"/>
  <c r="W39"/>
  <c r="U39"/>
  <c r="R39"/>
  <c r="P39"/>
  <c r="N39"/>
  <c r="K39"/>
  <c r="D39" s="1"/>
  <c r="E39"/>
  <c r="W38"/>
  <c r="U38"/>
  <c r="R38"/>
  <c r="P38"/>
  <c r="N38"/>
  <c r="E38"/>
  <c r="W37"/>
  <c r="U37"/>
  <c r="R37"/>
  <c r="P37"/>
  <c r="N37"/>
  <c r="E37"/>
  <c r="D37"/>
  <c r="W36"/>
  <c r="U36"/>
  <c r="R36"/>
  <c r="P36"/>
  <c r="N36"/>
  <c r="E36"/>
  <c r="W35"/>
  <c r="U35"/>
  <c r="R35"/>
  <c r="P35"/>
  <c r="E35"/>
  <c r="D35"/>
  <c r="W34"/>
  <c r="U34"/>
  <c r="R34"/>
  <c r="P34"/>
  <c r="E34"/>
  <c r="W33"/>
  <c r="U33"/>
  <c r="R33"/>
  <c r="P33"/>
  <c r="N33"/>
  <c r="H33"/>
  <c r="E33"/>
  <c r="D33"/>
  <c r="W32"/>
  <c r="U32"/>
  <c r="R32"/>
  <c r="P32"/>
  <c r="N32"/>
  <c r="E32"/>
  <c r="D32"/>
  <c r="W31"/>
  <c r="U31"/>
  <c r="R31"/>
  <c r="P31"/>
  <c r="N31"/>
  <c r="E31"/>
  <c r="D31"/>
  <c r="W30"/>
  <c r="U30"/>
  <c r="R30"/>
  <c r="P30"/>
  <c r="N30"/>
  <c r="E30"/>
  <c r="D30"/>
  <c r="W29"/>
  <c r="U29"/>
  <c r="R29"/>
  <c r="P29"/>
  <c r="N29"/>
  <c r="E29"/>
  <c r="D29"/>
  <c r="W28"/>
  <c r="U28"/>
  <c r="R28"/>
  <c r="P28"/>
  <c r="N28"/>
  <c r="H28"/>
  <c r="E28"/>
  <c r="D28"/>
  <c r="W27"/>
  <c r="U27"/>
  <c r="R27"/>
  <c r="P27"/>
  <c r="N27"/>
  <c r="H27"/>
  <c r="E27"/>
  <c r="D27"/>
  <c r="W26"/>
  <c r="U26"/>
  <c r="R26"/>
  <c r="P26"/>
  <c r="N26"/>
  <c r="E26"/>
  <c r="D26"/>
  <c r="W25"/>
  <c r="U25"/>
  <c r="R25"/>
  <c r="P25"/>
  <c r="N25"/>
  <c r="E25"/>
  <c r="D25"/>
  <c r="W24"/>
  <c r="U24"/>
  <c r="R24"/>
  <c r="P24"/>
  <c r="N24"/>
  <c r="E24"/>
  <c r="D24"/>
  <c r="W23"/>
  <c r="U23"/>
  <c r="R23"/>
  <c r="P23"/>
  <c r="N23"/>
  <c r="E23"/>
  <c r="D23"/>
  <c r="W22"/>
  <c r="U22"/>
  <c r="R22"/>
  <c r="P22"/>
  <c r="N22"/>
  <c r="E22"/>
  <c r="D22"/>
  <c r="W21"/>
  <c r="U21"/>
  <c r="R21"/>
  <c r="P21"/>
  <c r="N21"/>
  <c r="D21"/>
  <c r="E21"/>
  <c r="W20"/>
  <c r="U20"/>
  <c r="R20"/>
  <c r="P20"/>
  <c r="N20"/>
  <c r="E20"/>
  <c r="D20"/>
  <c r="W19"/>
  <c r="U19"/>
  <c r="R19"/>
  <c r="P19"/>
  <c r="P17" s="1"/>
  <c r="N19"/>
  <c r="D19"/>
  <c r="E19"/>
  <c r="W18"/>
  <c r="W16" s="1"/>
  <c r="U18"/>
  <c r="R18"/>
  <c r="P18"/>
  <c r="N18"/>
  <c r="E18"/>
  <c r="D18"/>
  <c r="X17"/>
  <c r="W17"/>
  <c r="V17"/>
  <c r="U17"/>
  <c r="T17"/>
  <c r="S17"/>
  <c r="R17"/>
  <c r="Q17"/>
  <c r="O17"/>
  <c r="N17"/>
  <c r="D17"/>
  <c r="G17"/>
  <c r="F17"/>
  <c r="E17" s="1"/>
  <c r="E14" s="1"/>
  <c r="X16"/>
  <c r="V16"/>
  <c r="U16"/>
  <c r="T16"/>
  <c r="S16"/>
  <c r="R16"/>
  <c r="Q16"/>
  <c r="P16"/>
  <c r="O16"/>
  <c r="N16"/>
  <c r="G16"/>
  <c r="F16"/>
  <c r="E16" s="1"/>
  <c r="D16"/>
  <c r="E15"/>
  <c r="D15"/>
  <c r="G14"/>
  <c r="F14"/>
  <c r="D46" l="1"/>
  <c r="D156"/>
  <c r="F99"/>
  <c r="N99"/>
  <c r="R99"/>
  <c r="T99"/>
  <c r="X99"/>
  <c r="P99"/>
  <c r="G99"/>
  <c r="O99"/>
  <c r="Q99"/>
  <c r="S99"/>
  <c r="V99"/>
  <c r="D104"/>
  <c r="D108"/>
  <c r="D112"/>
  <c r="D116"/>
  <c r="D120"/>
  <c r="D124"/>
  <c r="D128"/>
  <c r="D130"/>
  <c r="D134"/>
  <c r="D138"/>
  <c r="D143"/>
  <c r="D145"/>
  <c r="D147"/>
  <c r="W99"/>
  <c r="U99"/>
  <c r="D45"/>
  <c r="E95"/>
  <c r="I95"/>
  <c r="L95"/>
  <c r="M101" s="1"/>
  <c r="H98"/>
  <c r="I56" i="44"/>
  <c r="H56" s="1"/>
  <c r="L140"/>
  <c r="K140" s="1"/>
  <c r="L141"/>
  <c r="K141" s="1"/>
  <c r="I141"/>
  <c r="I140"/>
  <c r="E99" i="46" l="1"/>
  <c r="I101"/>
  <c r="D98"/>
  <c r="D95" s="1"/>
  <c r="L17" i="44"/>
  <c r="I44"/>
  <c r="I43"/>
  <c r="I87"/>
  <c r="I86"/>
  <c r="I81"/>
  <c r="I80"/>
  <c r="I98"/>
  <c r="I90"/>
  <c r="H90" s="1"/>
  <c r="I89"/>
  <c r="H89" s="1"/>
  <c r="I79"/>
  <c r="I78"/>
  <c r="I55"/>
  <c r="H55" s="1"/>
  <c r="I91"/>
  <c r="H91" s="1"/>
  <c r="I92"/>
  <c r="H92" s="1"/>
  <c r="I46"/>
  <c r="I45"/>
  <c r="I83"/>
  <c r="I82"/>
  <c r="I54"/>
  <c r="I53"/>
  <c r="I52"/>
  <c r="I51"/>
  <c r="L79"/>
  <c r="L75" s="1"/>
  <c r="L73" s="1"/>
  <c r="L78"/>
  <c r="L74" s="1"/>
  <c r="I35"/>
  <c r="I34"/>
  <c r="L87"/>
  <c r="L86"/>
  <c r="L81"/>
  <c r="L80"/>
  <c r="L92"/>
  <c r="L88" s="1"/>
  <c r="L35"/>
  <c r="L34"/>
  <c r="E100" i="46" l="1"/>
  <c r="J101" s="1"/>
  <c r="H87" i="44"/>
  <c r="H86"/>
  <c r="K87"/>
  <c r="K86"/>
  <c r="K81"/>
  <c r="K80"/>
  <c r="K79"/>
  <c r="K78"/>
  <c r="K75" l="1"/>
  <c r="I17"/>
  <c r="I14" s="1"/>
  <c r="H14" s="1"/>
  <c r="D16"/>
  <c r="K16"/>
  <c r="H21"/>
  <c r="K20"/>
  <c r="K21"/>
  <c r="K17" s="1"/>
  <c r="K19"/>
  <c r="K18"/>
  <c r="H81" l="1"/>
  <c r="D81" s="1"/>
  <c r="H80"/>
  <c r="D80" s="1"/>
  <c r="I85"/>
  <c r="I84"/>
  <c r="I77"/>
  <c r="I75" s="1"/>
  <c r="I73" s="1"/>
  <c r="I76"/>
  <c r="I74" s="1"/>
  <c r="L98"/>
  <c r="L56"/>
  <c r="L55"/>
  <c r="K55" s="1"/>
  <c r="I94"/>
  <c r="I93"/>
  <c r="H93" s="1"/>
  <c r="D93" s="1"/>
  <c r="H50"/>
  <c r="H49"/>
  <c r="D49" s="1"/>
  <c r="H48"/>
  <c r="H47"/>
  <c r="D47" s="1"/>
  <c r="W157"/>
  <c r="U157"/>
  <c r="R157"/>
  <c r="P157"/>
  <c r="N157"/>
  <c r="K157"/>
  <c r="E157"/>
  <c r="W156"/>
  <c r="U156"/>
  <c r="R156"/>
  <c r="P156"/>
  <c r="N156"/>
  <c r="K156"/>
  <c r="E156"/>
  <c r="D156" s="1"/>
  <c r="W155"/>
  <c r="U155"/>
  <c r="R155"/>
  <c r="P155"/>
  <c r="N155"/>
  <c r="K155"/>
  <c r="E155"/>
  <c r="D155" s="1"/>
  <c r="W154"/>
  <c r="U154"/>
  <c r="R154"/>
  <c r="P154"/>
  <c r="N154"/>
  <c r="K154"/>
  <c r="E154"/>
  <c r="D154" s="1"/>
  <c r="W153"/>
  <c r="U153"/>
  <c r="R153"/>
  <c r="P153"/>
  <c r="N153"/>
  <c r="K153"/>
  <c r="E153"/>
  <c r="D153" s="1"/>
  <c r="W152"/>
  <c r="U152"/>
  <c r="R152"/>
  <c r="P152"/>
  <c r="N152"/>
  <c r="K152"/>
  <c r="E152"/>
  <c r="D152" s="1"/>
  <c r="W151"/>
  <c r="U151"/>
  <c r="R151"/>
  <c r="P151"/>
  <c r="N151"/>
  <c r="K151"/>
  <c r="H151"/>
  <c r="E151"/>
  <c r="W150"/>
  <c r="U150"/>
  <c r="R150"/>
  <c r="P150"/>
  <c r="N150"/>
  <c r="K150"/>
  <c r="H150"/>
  <c r="E150"/>
  <c r="W149"/>
  <c r="U149"/>
  <c r="R149"/>
  <c r="P149"/>
  <c r="N149"/>
  <c r="K149"/>
  <c r="E149"/>
  <c r="W148"/>
  <c r="U148"/>
  <c r="U140" s="1"/>
  <c r="R148"/>
  <c r="P148"/>
  <c r="N148"/>
  <c r="K148"/>
  <c r="E148"/>
  <c r="W147"/>
  <c r="U147"/>
  <c r="R147"/>
  <c r="R141" s="1"/>
  <c r="P147"/>
  <c r="N147"/>
  <c r="N141" s="1"/>
  <c r="E147"/>
  <c r="W146"/>
  <c r="U146"/>
  <c r="R146"/>
  <c r="P146"/>
  <c r="N146"/>
  <c r="K146"/>
  <c r="E146"/>
  <c r="D146" s="1"/>
  <c r="W145"/>
  <c r="U145"/>
  <c r="R145"/>
  <c r="P145"/>
  <c r="N145"/>
  <c r="K145"/>
  <c r="E145"/>
  <c r="W144"/>
  <c r="U144"/>
  <c r="R144"/>
  <c r="P144"/>
  <c r="N144"/>
  <c r="K144"/>
  <c r="E144"/>
  <c r="D144" s="1"/>
  <c r="W143"/>
  <c r="U143"/>
  <c r="R143"/>
  <c r="P143"/>
  <c r="P141" s="1"/>
  <c r="N143"/>
  <c r="K143"/>
  <c r="E143"/>
  <c r="W142"/>
  <c r="W140" s="1"/>
  <c r="U142"/>
  <c r="R142"/>
  <c r="P142"/>
  <c r="N142"/>
  <c r="K142"/>
  <c r="E142"/>
  <c r="D142" s="1"/>
  <c r="X141"/>
  <c r="V141"/>
  <c r="T141"/>
  <c r="S141"/>
  <c r="Q141"/>
  <c r="O141"/>
  <c r="J141"/>
  <c r="H141"/>
  <c r="D141" s="1"/>
  <c r="G141"/>
  <c r="F141"/>
  <c r="X140"/>
  <c r="V140"/>
  <c r="T140"/>
  <c r="S140"/>
  <c r="R140"/>
  <c r="Q140"/>
  <c r="P140"/>
  <c r="O140"/>
  <c r="N140"/>
  <c r="J140"/>
  <c r="H140"/>
  <c r="D140" s="1"/>
  <c r="G140"/>
  <c r="F140"/>
  <c r="W139"/>
  <c r="U139"/>
  <c r="R139"/>
  <c r="P139"/>
  <c r="N139"/>
  <c r="K139"/>
  <c r="H139"/>
  <c r="D139" s="1"/>
  <c r="E139"/>
  <c r="W138"/>
  <c r="U138"/>
  <c r="R138"/>
  <c r="P138"/>
  <c r="N138"/>
  <c r="K138"/>
  <c r="H138"/>
  <c r="E138"/>
  <c r="D138" s="1"/>
  <c r="W137"/>
  <c r="U137"/>
  <c r="R137"/>
  <c r="P137"/>
  <c r="N137"/>
  <c r="K137"/>
  <c r="H137"/>
  <c r="E137"/>
  <c r="D137" s="1"/>
  <c r="W136"/>
  <c r="U136"/>
  <c r="R136"/>
  <c r="P136"/>
  <c r="N136"/>
  <c r="K136"/>
  <c r="H136"/>
  <c r="E136"/>
  <c r="W135"/>
  <c r="U135"/>
  <c r="R135"/>
  <c r="P135"/>
  <c r="N135"/>
  <c r="K135"/>
  <c r="H135"/>
  <c r="D135" s="1"/>
  <c r="E135"/>
  <c r="W134"/>
  <c r="U134"/>
  <c r="R134"/>
  <c r="P134"/>
  <c r="N134"/>
  <c r="K134"/>
  <c r="H134"/>
  <c r="E134"/>
  <c r="D134" s="1"/>
  <c r="W133"/>
  <c r="U133"/>
  <c r="R133"/>
  <c r="P133"/>
  <c r="N133"/>
  <c r="K133"/>
  <c r="H133"/>
  <c r="E133"/>
  <c r="D133" s="1"/>
  <c r="W132"/>
  <c r="U132"/>
  <c r="R132"/>
  <c r="P132"/>
  <c r="N132"/>
  <c r="K132"/>
  <c r="H132"/>
  <c r="E132"/>
  <c r="W131"/>
  <c r="U131"/>
  <c r="R131"/>
  <c r="P131"/>
  <c r="N131"/>
  <c r="K131"/>
  <c r="H131"/>
  <c r="E131"/>
  <c r="D131"/>
  <c r="W130"/>
  <c r="U130"/>
  <c r="R130"/>
  <c r="P130"/>
  <c r="N130"/>
  <c r="K130"/>
  <c r="H130"/>
  <c r="E130"/>
  <c r="D130" s="1"/>
  <c r="X129"/>
  <c r="W129" s="1"/>
  <c r="V129"/>
  <c r="U129" s="1"/>
  <c r="T129"/>
  <c r="S129"/>
  <c r="R129" s="1"/>
  <c r="Q129"/>
  <c r="P129" s="1"/>
  <c r="O129"/>
  <c r="N129" s="1"/>
  <c r="M129"/>
  <c r="L129"/>
  <c r="J129"/>
  <c r="H129" s="1"/>
  <c r="I129"/>
  <c r="G129"/>
  <c r="F129"/>
  <c r="W128"/>
  <c r="U128"/>
  <c r="R128"/>
  <c r="P128"/>
  <c r="N128"/>
  <c r="K128"/>
  <c r="H128"/>
  <c r="E128"/>
  <c r="D128" s="1"/>
  <c r="W127"/>
  <c r="U127"/>
  <c r="R127"/>
  <c r="P127"/>
  <c r="N127"/>
  <c r="K127"/>
  <c r="H127"/>
  <c r="E127"/>
  <c r="D127" s="1"/>
  <c r="W126"/>
  <c r="U126"/>
  <c r="R126"/>
  <c r="P126"/>
  <c r="N126"/>
  <c r="K126"/>
  <c r="H126"/>
  <c r="E126"/>
  <c r="W125"/>
  <c r="U125"/>
  <c r="R125"/>
  <c r="P125"/>
  <c r="N125"/>
  <c r="K125"/>
  <c r="H125"/>
  <c r="D125" s="1"/>
  <c r="E125"/>
  <c r="W124"/>
  <c r="U124"/>
  <c r="R124"/>
  <c r="P124"/>
  <c r="N124"/>
  <c r="K124"/>
  <c r="H124"/>
  <c r="E124"/>
  <c r="D124" s="1"/>
  <c r="W123"/>
  <c r="U123"/>
  <c r="R123"/>
  <c r="P123"/>
  <c r="N123"/>
  <c r="K123"/>
  <c r="H123"/>
  <c r="E123"/>
  <c r="D123" s="1"/>
  <c r="W122"/>
  <c r="U122"/>
  <c r="R122"/>
  <c r="P122"/>
  <c r="N122"/>
  <c r="K122"/>
  <c r="H122"/>
  <c r="E122"/>
  <c r="W121"/>
  <c r="U121"/>
  <c r="R121"/>
  <c r="P121"/>
  <c r="N121"/>
  <c r="K121"/>
  <c r="H121"/>
  <c r="D121" s="1"/>
  <c r="E121"/>
  <c r="W120"/>
  <c r="U120"/>
  <c r="R120"/>
  <c r="P120"/>
  <c r="N120"/>
  <c r="K120"/>
  <c r="H120"/>
  <c r="E120"/>
  <c r="D120" s="1"/>
  <c r="W119"/>
  <c r="U119"/>
  <c r="R119"/>
  <c r="P119"/>
  <c r="N119"/>
  <c r="K119"/>
  <c r="H119"/>
  <c r="E119"/>
  <c r="D119" s="1"/>
  <c r="W118"/>
  <c r="U118"/>
  <c r="R118"/>
  <c r="P118"/>
  <c r="N118"/>
  <c r="K118"/>
  <c r="H118"/>
  <c r="E118"/>
  <c r="W117"/>
  <c r="U117"/>
  <c r="R117"/>
  <c r="P117"/>
  <c r="N117"/>
  <c r="K117"/>
  <c r="H117"/>
  <c r="E117"/>
  <c r="D117"/>
  <c r="W116"/>
  <c r="U116"/>
  <c r="R116"/>
  <c r="P116"/>
  <c r="N116"/>
  <c r="K116"/>
  <c r="H116"/>
  <c r="E116"/>
  <c r="D116" s="1"/>
  <c r="W115"/>
  <c r="U115"/>
  <c r="R115"/>
  <c r="P115"/>
  <c r="N115"/>
  <c r="K115"/>
  <c r="H115"/>
  <c r="E115"/>
  <c r="D115" s="1"/>
  <c r="W114"/>
  <c r="U114"/>
  <c r="R114"/>
  <c r="P114"/>
  <c r="N114"/>
  <c r="K114"/>
  <c r="H114"/>
  <c r="E114"/>
  <c r="W113"/>
  <c r="U113"/>
  <c r="R113"/>
  <c r="P113"/>
  <c r="N113"/>
  <c r="K113"/>
  <c r="H113"/>
  <c r="E113"/>
  <c r="D113"/>
  <c r="W112"/>
  <c r="U112"/>
  <c r="R112"/>
  <c r="P112"/>
  <c r="N112"/>
  <c r="K112"/>
  <c r="H112"/>
  <c r="E112"/>
  <c r="D112" s="1"/>
  <c r="W111"/>
  <c r="U111"/>
  <c r="R111"/>
  <c r="P111"/>
  <c r="N111"/>
  <c r="K111"/>
  <c r="H111"/>
  <c r="E111"/>
  <c r="D111" s="1"/>
  <c r="W110"/>
  <c r="U110"/>
  <c r="R110"/>
  <c r="P110"/>
  <c r="N110"/>
  <c r="K110"/>
  <c r="H110"/>
  <c r="E110"/>
  <c r="W109"/>
  <c r="U109"/>
  <c r="R109"/>
  <c r="P109"/>
  <c r="N109"/>
  <c r="K109"/>
  <c r="H109"/>
  <c r="E109"/>
  <c r="D109"/>
  <c r="W108"/>
  <c r="U108"/>
  <c r="R108"/>
  <c r="P108"/>
  <c r="N108"/>
  <c r="K108"/>
  <c r="H108"/>
  <c r="E108"/>
  <c r="D108" s="1"/>
  <c r="W107"/>
  <c r="U107"/>
  <c r="R107"/>
  <c r="P107"/>
  <c r="N107"/>
  <c r="K107"/>
  <c r="H107"/>
  <c r="E107"/>
  <c r="D107" s="1"/>
  <c r="W106"/>
  <c r="U106"/>
  <c r="R106"/>
  <c r="P106"/>
  <c r="N106"/>
  <c r="K106"/>
  <c r="H106"/>
  <c r="E106"/>
  <c r="W105"/>
  <c r="U105"/>
  <c r="R105"/>
  <c r="P105"/>
  <c r="N105"/>
  <c r="K105"/>
  <c r="H105"/>
  <c r="D105" s="1"/>
  <c r="E105"/>
  <c r="W104"/>
  <c r="U104"/>
  <c r="R104"/>
  <c r="P104"/>
  <c r="N104"/>
  <c r="K104"/>
  <c r="H104"/>
  <c r="E104"/>
  <c r="D104" s="1"/>
  <c r="W103"/>
  <c r="U103"/>
  <c r="R103"/>
  <c r="P103"/>
  <c r="N103"/>
  <c r="K103"/>
  <c r="H103"/>
  <c r="E103"/>
  <c r="D103" s="1"/>
  <c r="W98"/>
  <c r="U98"/>
  <c r="R98"/>
  <c r="P98"/>
  <c r="N98"/>
  <c r="H98"/>
  <c r="H95" s="1"/>
  <c r="E98"/>
  <c r="W97"/>
  <c r="W95" s="1"/>
  <c r="U97"/>
  <c r="R97"/>
  <c r="P97"/>
  <c r="N97"/>
  <c r="E97"/>
  <c r="D97"/>
  <c r="W96"/>
  <c r="U96"/>
  <c r="U95" s="1"/>
  <c r="R96"/>
  <c r="P96"/>
  <c r="N96"/>
  <c r="E96"/>
  <c r="D96"/>
  <c r="X95"/>
  <c r="V95"/>
  <c r="T95"/>
  <c r="S95"/>
  <c r="Q95"/>
  <c r="O95"/>
  <c r="I95"/>
  <c r="G95"/>
  <c r="F95"/>
  <c r="W94"/>
  <c r="U94"/>
  <c r="R94"/>
  <c r="P94"/>
  <c r="N94"/>
  <c r="E94"/>
  <c r="W93"/>
  <c r="U93"/>
  <c r="R93"/>
  <c r="P93"/>
  <c r="N93"/>
  <c r="E93"/>
  <c r="W92"/>
  <c r="U92"/>
  <c r="R92"/>
  <c r="P92"/>
  <c r="N92"/>
  <c r="K92"/>
  <c r="E92"/>
  <c r="W91"/>
  <c r="U91"/>
  <c r="R91"/>
  <c r="P91"/>
  <c r="N91"/>
  <c r="K91"/>
  <c r="E91"/>
  <c r="W90"/>
  <c r="W88" s="1"/>
  <c r="U90"/>
  <c r="R90"/>
  <c r="P90"/>
  <c r="P88" s="1"/>
  <c r="N90"/>
  <c r="N88" s="1"/>
  <c r="E90"/>
  <c r="D90"/>
  <c r="W89"/>
  <c r="U89"/>
  <c r="R89"/>
  <c r="P89"/>
  <c r="N89"/>
  <c r="E89"/>
  <c r="D89"/>
  <c r="X88"/>
  <c r="V88"/>
  <c r="U88"/>
  <c r="T88"/>
  <c r="S88"/>
  <c r="R88"/>
  <c r="Q88"/>
  <c r="O88"/>
  <c r="K88"/>
  <c r="G88"/>
  <c r="E88" s="1"/>
  <c r="F88"/>
  <c r="W87"/>
  <c r="U87"/>
  <c r="R87"/>
  <c r="P87"/>
  <c r="N87"/>
  <c r="E87"/>
  <c r="W86"/>
  <c r="U86"/>
  <c r="R86"/>
  <c r="P86"/>
  <c r="N86"/>
  <c r="E86"/>
  <c r="W85"/>
  <c r="U85"/>
  <c r="R85"/>
  <c r="P85"/>
  <c r="P73" s="1"/>
  <c r="N85"/>
  <c r="H85"/>
  <c r="E85"/>
  <c r="D85"/>
  <c r="W84"/>
  <c r="U84"/>
  <c r="R84"/>
  <c r="P84"/>
  <c r="N84"/>
  <c r="H84"/>
  <c r="E84"/>
  <c r="W83"/>
  <c r="U83"/>
  <c r="R83"/>
  <c r="P83"/>
  <c r="N83"/>
  <c r="K83"/>
  <c r="H83"/>
  <c r="E83"/>
  <c r="W82"/>
  <c r="U82"/>
  <c r="R82"/>
  <c r="P82"/>
  <c r="N82"/>
  <c r="K82"/>
  <c r="H82"/>
  <c r="E82"/>
  <c r="W81"/>
  <c r="U81"/>
  <c r="R81"/>
  <c r="P81"/>
  <c r="N81"/>
  <c r="E81"/>
  <c r="W80"/>
  <c r="U80"/>
  <c r="R80"/>
  <c r="P80"/>
  <c r="N80"/>
  <c r="E80"/>
  <c r="W79"/>
  <c r="U79"/>
  <c r="R79"/>
  <c r="P79"/>
  <c r="N79"/>
  <c r="H79"/>
  <c r="D79" s="1"/>
  <c r="E79"/>
  <c r="W78"/>
  <c r="U78"/>
  <c r="R78"/>
  <c r="P78"/>
  <c r="P74" s="1"/>
  <c r="N78"/>
  <c r="H78"/>
  <c r="D78" s="1"/>
  <c r="E78"/>
  <c r="W77"/>
  <c r="W75" s="1"/>
  <c r="W73" s="1"/>
  <c r="U77"/>
  <c r="R77"/>
  <c r="R75" s="1"/>
  <c r="R73" s="1"/>
  <c r="P77"/>
  <c r="N77"/>
  <c r="N75" s="1"/>
  <c r="N73" s="1"/>
  <c r="K77"/>
  <c r="H77"/>
  <c r="E77"/>
  <c r="W76"/>
  <c r="W74" s="1"/>
  <c r="U76"/>
  <c r="R76"/>
  <c r="R74" s="1"/>
  <c r="P76"/>
  <c r="N76"/>
  <c r="N74" s="1"/>
  <c r="K76"/>
  <c r="K74" s="1"/>
  <c r="H76"/>
  <c r="E76"/>
  <c r="X75"/>
  <c r="V75"/>
  <c r="U75"/>
  <c r="T75"/>
  <c r="S75"/>
  <c r="Q75"/>
  <c r="P75"/>
  <c r="O75"/>
  <c r="H75"/>
  <c r="G75"/>
  <c r="F75"/>
  <c r="E75" s="1"/>
  <c r="X74"/>
  <c r="V74"/>
  <c r="U74"/>
  <c r="T74"/>
  <c r="S74"/>
  <c r="Q74"/>
  <c r="O74"/>
  <c r="H74"/>
  <c r="G74"/>
  <c r="F74"/>
  <c r="E74" s="1"/>
  <c r="X73"/>
  <c r="V73"/>
  <c r="U73"/>
  <c r="T73"/>
  <c r="S73"/>
  <c r="Q73"/>
  <c r="O73"/>
  <c r="K73"/>
  <c r="G73"/>
  <c r="F73"/>
  <c r="E73" s="1"/>
  <c r="W72"/>
  <c r="U72"/>
  <c r="R72"/>
  <c r="P72"/>
  <c r="N72"/>
  <c r="E72"/>
  <c r="D72"/>
  <c r="W71"/>
  <c r="U71"/>
  <c r="R71"/>
  <c r="P71"/>
  <c r="N71"/>
  <c r="E71"/>
  <c r="D71"/>
  <c r="W70"/>
  <c r="U70"/>
  <c r="R70"/>
  <c r="P70"/>
  <c r="N70"/>
  <c r="E70"/>
  <c r="D70"/>
  <c r="W69"/>
  <c r="U69"/>
  <c r="R69"/>
  <c r="P69"/>
  <c r="N69"/>
  <c r="E69"/>
  <c r="D69"/>
  <c r="W68"/>
  <c r="U68"/>
  <c r="R68"/>
  <c r="P68"/>
  <c r="N68"/>
  <c r="E68"/>
  <c r="D68"/>
  <c r="W67"/>
  <c r="U67"/>
  <c r="R67"/>
  <c r="P67"/>
  <c r="N67"/>
  <c r="E67"/>
  <c r="D67"/>
  <c r="W66"/>
  <c r="U66"/>
  <c r="R66"/>
  <c r="P66"/>
  <c r="N66"/>
  <c r="E66"/>
  <c r="D66"/>
  <c r="W65"/>
  <c r="U65"/>
  <c r="R65"/>
  <c r="P65"/>
  <c r="N65"/>
  <c r="E65"/>
  <c r="D65"/>
  <c r="W64"/>
  <c r="U64"/>
  <c r="R64"/>
  <c r="P64"/>
  <c r="N64"/>
  <c r="E64"/>
  <c r="D64"/>
  <c r="W63"/>
  <c r="U63"/>
  <c r="R63"/>
  <c r="P63"/>
  <c r="N63"/>
  <c r="E63"/>
  <c r="D63"/>
  <c r="W62"/>
  <c r="U62"/>
  <c r="R62"/>
  <c r="P62"/>
  <c r="N62"/>
  <c r="E62"/>
  <c r="D62"/>
  <c r="W61"/>
  <c r="U61"/>
  <c r="R61"/>
  <c r="P61"/>
  <c r="N61"/>
  <c r="E61"/>
  <c r="D61"/>
  <c r="W60"/>
  <c r="U60"/>
  <c r="R60"/>
  <c r="P60"/>
  <c r="N60"/>
  <c r="E60"/>
  <c r="D60"/>
  <c r="W59"/>
  <c r="U59"/>
  <c r="R59"/>
  <c r="P59"/>
  <c r="N59"/>
  <c r="E59"/>
  <c r="D59"/>
  <c r="W58"/>
  <c r="U58"/>
  <c r="R58"/>
  <c r="P58"/>
  <c r="N58"/>
  <c r="D58"/>
  <c r="E58"/>
  <c r="W57"/>
  <c r="U57"/>
  <c r="R57"/>
  <c r="P57"/>
  <c r="N57"/>
  <c r="E57"/>
  <c r="D57"/>
  <c r="W56"/>
  <c r="U56"/>
  <c r="R56"/>
  <c r="P56"/>
  <c r="N56"/>
  <c r="E56"/>
  <c r="W55"/>
  <c r="U55"/>
  <c r="R55"/>
  <c r="P55"/>
  <c r="N55"/>
  <c r="E55"/>
  <c r="W54"/>
  <c r="U54"/>
  <c r="R54"/>
  <c r="P54"/>
  <c r="N54"/>
  <c r="H54"/>
  <c r="D54" s="1"/>
  <c r="E54"/>
  <c r="W53"/>
  <c r="U53"/>
  <c r="R53"/>
  <c r="P53"/>
  <c r="N53"/>
  <c r="H53"/>
  <c r="D53" s="1"/>
  <c r="E53"/>
  <c r="W52"/>
  <c r="U52"/>
  <c r="R52"/>
  <c r="P52"/>
  <c r="N52"/>
  <c r="D101"/>
  <c r="E52"/>
  <c r="W51"/>
  <c r="U51"/>
  <c r="R51"/>
  <c r="P51"/>
  <c r="N51"/>
  <c r="H51"/>
  <c r="D51" s="1"/>
  <c r="E51"/>
  <c r="W50"/>
  <c r="U50"/>
  <c r="R50"/>
  <c r="P50"/>
  <c r="N50"/>
  <c r="E50"/>
  <c r="D50"/>
  <c r="W49"/>
  <c r="U49"/>
  <c r="R49"/>
  <c r="P49"/>
  <c r="N49"/>
  <c r="E49"/>
  <c r="W48"/>
  <c r="U48"/>
  <c r="R48"/>
  <c r="P48"/>
  <c r="N48"/>
  <c r="E48"/>
  <c r="D48"/>
  <c r="W47"/>
  <c r="U47"/>
  <c r="R47"/>
  <c r="P47"/>
  <c r="N47"/>
  <c r="E47"/>
  <c r="W46"/>
  <c r="U46"/>
  <c r="R46"/>
  <c r="P46"/>
  <c r="N46"/>
  <c r="H46"/>
  <c r="E46"/>
  <c r="D46"/>
  <c r="W45"/>
  <c r="U45"/>
  <c r="R45"/>
  <c r="P45"/>
  <c r="N45"/>
  <c r="H45"/>
  <c r="E45"/>
  <c r="D45"/>
  <c r="U44"/>
  <c r="R44"/>
  <c r="P44"/>
  <c r="N44"/>
  <c r="H44"/>
  <c r="D44" s="1"/>
  <c r="E44"/>
  <c r="U43"/>
  <c r="R43"/>
  <c r="P43"/>
  <c r="N43"/>
  <c r="H43"/>
  <c r="D43" s="1"/>
  <c r="E43"/>
  <c r="U42"/>
  <c r="R42"/>
  <c r="P42"/>
  <c r="N42"/>
  <c r="H42"/>
  <c r="E42"/>
  <c r="U41"/>
  <c r="R41"/>
  <c r="P41"/>
  <c r="N41"/>
  <c r="H41"/>
  <c r="E41"/>
  <c r="W40"/>
  <c r="U40"/>
  <c r="R40"/>
  <c r="P40"/>
  <c r="N40"/>
  <c r="K40"/>
  <c r="H40"/>
  <c r="D40" s="1"/>
  <c r="E40"/>
  <c r="W39"/>
  <c r="U39"/>
  <c r="R39"/>
  <c r="P39"/>
  <c r="N39"/>
  <c r="K39"/>
  <c r="D39"/>
  <c r="E39"/>
  <c r="W38"/>
  <c r="U38"/>
  <c r="R38"/>
  <c r="P38"/>
  <c r="N38"/>
  <c r="H38"/>
  <c r="E38"/>
  <c r="D38"/>
  <c r="W37"/>
  <c r="U37"/>
  <c r="R37"/>
  <c r="P37"/>
  <c r="N37"/>
  <c r="H37"/>
  <c r="D37" s="1"/>
  <c r="E37"/>
  <c r="W36"/>
  <c r="U36"/>
  <c r="R36"/>
  <c r="P36"/>
  <c r="N36"/>
  <c r="H36"/>
  <c r="D36" s="1"/>
  <c r="E36"/>
  <c r="W35"/>
  <c r="U35"/>
  <c r="R35"/>
  <c r="P35"/>
  <c r="K35"/>
  <c r="H35"/>
  <c r="E35"/>
  <c r="W34"/>
  <c r="U34"/>
  <c r="R34"/>
  <c r="P34"/>
  <c r="K34"/>
  <c r="H34"/>
  <c r="E34"/>
  <c r="D34"/>
  <c r="W33"/>
  <c r="U33"/>
  <c r="R33"/>
  <c r="P33"/>
  <c r="N33"/>
  <c r="H33"/>
  <c r="D33" s="1"/>
  <c r="E33"/>
  <c r="W32"/>
  <c r="U32"/>
  <c r="R32"/>
  <c r="P32"/>
  <c r="N32"/>
  <c r="E32"/>
  <c r="D32"/>
  <c r="W31"/>
  <c r="U31"/>
  <c r="R31"/>
  <c r="P31"/>
  <c r="N31"/>
  <c r="E31"/>
  <c r="D31"/>
  <c r="W30"/>
  <c r="U30"/>
  <c r="R30"/>
  <c r="P30"/>
  <c r="N30"/>
  <c r="E30"/>
  <c r="D30"/>
  <c r="W29"/>
  <c r="U29"/>
  <c r="R29"/>
  <c r="P29"/>
  <c r="N29"/>
  <c r="E29"/>
  <c r="D29"/>
  <c r="W28"/>
  <c r="U28"/>
  <c r="R28"/>
  <c r="P28"/>
  <c r="N28"/>
  <c r="H28"/>
  <c r="D28" s="1"/>
  <c r="E28"/>
  <c r="W27"/>
  <c r="U27"/>
  <c r="R27"/>
  <c r="P27"/>
  <c r="N27"/>
  <c r="H27"/>
  <c r="E27"/>
  <c r="D27"/>
  <c r="W26"/>
  <c r="U26"/>
  <c r="R26"/>
  <c r="P26"/>
  <c r="N26"/>
  <c r="H26"/>
  <c r="D26" s="1"/>
  <c r="E26"/>
  <c r="W25"/>
  <c r="U25"/>
  <c r="R25"/>
  <c r="P25"/>
  <c r="N25"/>
  <c r="H25"/>
  <c r="E25"/>
  <c r="D25"/>
  <c r="W24"/>
  <c r="U24"/>
  <c r="R24"/>
  <c r="P24"/>
  <c r="N24"/>
  <c r="H24"/>
  <c r="D24" s="1"/>
  <c r="E24"/>
  <c r="W23"/>
  <c r="U23"/>
  <c r="R23"/>
  <c r="P23"/>
  <c r="N23"/>
  <c r="H23"/>
  <c r="E23"/>
  <c r="D23"/>
  <c r="W22"/>
  <c r="U22"/>
  <c r="R22"/>
  <c r="P22"/>
  <c r="N22"/>
  <c r="E22"/>
  <c r="D22"/>
  <c r="W21"/>
  <c r="U21"/>
  <c r="R21"/>
  <c r="P21"/>
  <c r="N21"/>
  <c r="E21"/>
  <c r="D21"/>
  <c r="W20"/>
  <c r="U20"/>
  <c r="R20"/>
  <c r="P20"/>
  <c r="N20"/>
  <c r="H20"/>
  <c r="D20" s="1"/>
  <c r="E20"/>
  <c r="W19"/>
  <c r="U19"/>
  <c r="R19"/>
  <c r="P19"/>
  <c r="P17" s="1"/>
  <c r="N19"/>
  <c r="H19"/>
  <c r="D19" s="1"/>
  <c r="E19"/>
  <c r="W18"/>
  <c r="U18"/>
  <c r="R18"/>
  <c r="R16" s="1"/>
  <c r="P18"/>
  <c r="N18"/>
  <c r="N16" s="1"/>
  <c r="H18"/>
  <c r="D18" s="1"/>
  <c r="E18"/>
  <c r="X17"/>
  <c r="W17"/>
  <c r="V17"/>
  <c r="U17"/>
  <c r="T17"/>
  <c r="S17"/>
  <c r="R17"/>
  <c r="Q17"/>
  <c r="O17"/>
  <c r="N17"/>
  <c r="H17"/>
  <c r="D17" s="1"/>
  <c r="G17"/>
  <c r="F17"/>
  <c r="E17" s="1"/>
  <c r="E14" s="1"/>
  <c r="X16"/>
  <c r="W16"/>
  <c r="V16"/>
  <c r="U16"/>
  <c r="T16"/>
  <c r="S16"/>
  <c r="Q16"/>
  <c r="P16"/>
  <c r="O16"/>
  <c r="G16"/>
  <c r="F16"/>
  <c r="E16"/>
  <c r="K15"/>
  <c r="E15"/>
  <c r="G14"/>
  <c r="D129" l="1"/>
  <c r="L95"/>
  <c r="K98"/>
  <c r="K95" s="1"/>
  <c r="F14"/>
  <c r="N95"/>
  <c r="R95"/>
  <c r="P95"/>
  <c r="D106"/>
  <c r="D110"/>
  <c r="D114"/>
  <c r="D118"/>
  <c r="D122"/>
  <c r="D126"/>
  <c r="E129"/>
  <c r="K129"/>
  <c r="D132"/>
  <c r="D136"/>
  <c r="E140"/>
  <c r="D143"/>
  <c r="W141"/>
  <c r="D145"/>
  <c r="D147"/>
  <c r="U141"/>
  <c r="D157"/>
  <c r="H94"/>
  <c r="D94" s="1"/>
  <c r="I88"/>
  <c r="H88" s="1"/>
  <c r="H99" s="1"/>
  <c r="L14"/>
  <c r="K14" s="1"/>
  <c r="D14" s="1"/>
  <c r="K56"/>
  <c r="D150"/>
  <c r="D151"/>
  <c r="D74"/>
  <c r="I101"/>
  <c r="D98"/>
  <c r="D95" s="1"/>
  <c r="D86"/>
  <c r="D87"/>
  <c r="D15"/>
  <c r="D55"/>
  <c r="H73"/>
  <c r="T99"/>
  <c r="V99"/>
  <c r="X99"/>
  <c r="Q99"/>
  <c r="U99"/>
  <c r="O99"/>
  <c r="S99"/>
  <c r="D91"/>
  <c r="D92"/>
  <c r="D88"/>
  <c r="D56"/>
  <c r="D35"/>
  <c r="D41"/>
  <c r="D42"/>
  <c r="H52"/>
  <c r="D52" s="1"/>
  <c r="G99"/>
  <c r="F99"/>
  <c r="E99" s="1"/>
  <c r="P99"/>
  <c r="N99"/>
  <c r="R99"/>
  <c r="W99"/>
  <c r="D76"/>
  <c r="D77"/>
  <c r="D82"/>
  <c r="D83"/>
  <c r="D84"/>
  <c r="E95"/>
  <c r="E141"/>
  <c r="J55" i="43"/>
  <c r="I99" i="44" l="1"/>
  <c r="L99"/>
  <c r="K99" s="1"/>
  <c r="M101" s="1"/>
  <c r="D75"/>
  <c r="D73" s="1"/>
  <c r="D99" s="1"/>
  <c r="H141" i="43"/>
  <c r="D141" s="1"/>
  <c r="H140"/>
  <c r="D140" s="1"/>
  <c r="E100" i="44" l="1"/>
  <c r="J101" s="1"/>
  <c r="I95" i="43"/>
  <c r="J56" l="1"/>
  <c r="H40"/>
  <c r="H38"/>
  <c r="H39"/>
  <c r="H58"/>
  <c r="H57"/>
  <c r="I33"/>
  <c r="I26"/>
  <c r="I24" s="1"/>
  <c r="I25"/>
  <c r="I23"/>
  <c r="I17"/>
  <c r="I16"/>
  <c r="K56"/>
  <c r="K55"/>
  <c r="H91"/>
  <c r="H92" l="1"/>
  <c r="H88"/>
  <c r="K86"/>
  <c r="K87" l="1"/>
  <c r="L73"/>
  <c r="K73" s="1"/>
  <c r="H35"/>
  <c r="L95"/>
  <c r="H56"/>
  <c r="H55"/>
  <c r="H52"/>
  <c r="D52" s="1"/>
  <c r="I51"/>
  <c r="H51" s="1"/>
  <c r="H44"/>
  <c r="H43"/>
  <c r="I42" l="1"/>
  <c r="I41"/>
  <c r="K91"/>
  <c r="I75"/>
  <c r="I73" s="1"/>
  <c r="I74"/>
  <c r="K92" l="1"/>
  <c r="D92" s="1"/>
  <c r="W157"/>
  <c r="U157"/>
  <c r="R157"/>
  <c r="P157"/>
  <c r="N157"/>
  <c r="K157"/>
  <c r="E157"/>
  <c r="D157" s="1"/>
  <c r="W156"/>
  <c r="U156"/>
  <c r="R156"/>
  <c r="P156"/>
  <c r="N156"/>
  <c r="K156"/>
  <c r="E156"/>
  <c r="D156"/>
  <c r="W155"/>
  <c r="U155"/>
  <c r="R155"/>
  <c r="P155"/>
  <c r="N155"/>
  <c r="K155"/>
  <c r="E155"/>
  <c r="D155"/>
  <c r="W154"/>
  <c r="U154"/>
  <c r="R154"/>
  <c r="P154"/>
  <c r="N154"/>
  <c r="K154"/>
  <c r="E154"/>
  <c r="D154"/>
  <c r="W153"/>
  <c r="U153"/>
  <c r="R153"/>
  <c r="P153"/>
  <c r="N153"/>
  <c r="K153"/>
  <c r="E153"/>
  <c r="D153"/>
  <c r="W152"/>
  <c r="U152"/>
  <c r="R152"/>
  <c r="P152"/>
  <c r="N152"/>
  <c r="K152"/>
  <c r="E152"/>
  <c r="D152"/>
  <c r="W151"/>
  <c r="U151"/>
  <c r="R151"/>
  <c r="P151"/>
  <c r="N151"/>
  <c r="K151"/>
  <c r="H151"/>
  <c r="E151"/>
  <c r="W150"/>
  <c r="U150"/>
  <c r="R150"/>
  <c r="P150"/>
  <c r="N150"/>
  <c r="K150"/>
  <c r="H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E147"/>
  <c r="D147" s="1"/>
  <c r="W146"/>
  <c r="U146"/>
  <c r="R146"/>
  <c r="P146"/>
  <c r="N146"/>
  <c r="K146"/>
  <c r="E146"/>
  <c r="W145"/>
  <c r="U145"/>
  <c r="R145"/>
  <c r="P145"/>
  <c r="N145"/>
  <c r="K145"/>
  <c r="E145"/>
  <c r="D145" s="1"/>
  <c r="W144"/>
  <c r="U144"/>
  <c r="R144"/>
  <c r="P144"/>
  <c r="N144"/>
  <c r="K144"/>
  <c r="E144"/>
  <c r="W143"/>
  <c r="W141" s="1"/>
  <c r="U143"/>
  <c r="R143"/>
  <c r="R141" s="1"/>
  <c r="P143"/>
  <c r="N143"/>
  <c r="N141" s="1"/>
  <c r="K143"/>
  <c r="E143"/>
  <c r="D143" s="1"/>
  <c r="W142"/>
  <c r="U142"/>
  <c r="R142"/>
  <c r="P142"/>
  <c r="N142"/>
  <c r="K142"/>
  <c r="E142"/>
  <c r="X141"/>
  <c r="V141"/>
  <c r="U141"/>
  <c r="T141"/>
  <c r="S141"/>
  <c r="Q141"/>
  <c r="P141"/>
  <c r="O141"/>
  <c r="J141"/>
  <c r="G141"/>
  <c r="F141"/>
  <c r="E141"/>
  <c r="X140"/>
  <c r="W140"/>
  <c r="V140"/>
  <c r="U140"/>
  <c r="T140"/>
  <c r="S140"/>
  <c r="R140"/>
  <c r="Q140"/>
  <c r="P140"/>
  <c r="O140"/>
  <c r="N140"/>
  <c r="J140"/>
  <c r="G140"/>
  <c r="F140"/>
  <c r="E140"/>
  <c r="W139"/>
  <c r="U139"/>
  <c r="R139"/>
  <c r="P139"/>
  <c r="N139"/>
  <c r="K139"/>
  <c r="H139"/>
  <c r="E139"/>
  <c r="D139" s="1"/>
  <c r="W138"/>
  <c r="U138"/>
  <c r="R138"/>
  <c r="P138"/>
  <c r="N138"/>
  <c r="K138"/>
  <c r="H138"/>
  <c r="E138"/>
  <c r="W137"/>
  <c r="U137"/>
  <c r="R137"/>
  <c r="P137"/>
  <c r="N137"/>
  <c r="K137"/>
  <c r="H137"/>
  <c r="E137"/>
  <c r="D137" s="1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D133"/>
  <c r="W132"/>
  <c r="U132"/>
  <c r="R132"/>
  <c r="P132"/>
  <c r="N132"/>
  <c r="K132"/>
  <c r="H132"/>
  <c r="E132"/>
  <c r="D132" s="1"/>
  <c r="W131"/>
  <c r="U131"/>
  <c r="R131"/>
  <c r="P131"/>
  <c r="N131"/>
  <c r="K131"/>
  <c r="H131"/>
  <c r="E131"/>
  <c r="D131" s="1"/>
  <c r="W130"/>
  <c r="U130"/>
  <c r="R130"/>
  <c r="P130"/>
  <c r="N130"/>
  <c r="K130"/>
  <c r="H130"/>
  <c r="E130"/>
  <c r="X129"/>
  <c r="W129" s="1"/>
  <c r="V129"/>
  <c r="U129" s="1"/>
  <c r="T129"/>
  <c r="S129"/>
  <c r="R129" s="1"/>
  <c r="Q129"/>
  <c r="P129" s="1"/>
  <c r="O129"/>
  <c r="N129" s="1"/>
  <c r="M129"/>
  <c r="L129"/>
  <c r="J129"/>
  <c r="I129"/>
  <c r="G129"/>
  <c r="F129"/>
  <c r="E129"/>
  <c r="W128"/>
  <c r="U128"/>
  <c r="R128"/>
  <c r="P128"/>
  <c r="N128"/>
  <c r="K128"/>
  <c r="H128"/>
  <c r="E128"/>
  <c r="W127"/>
  <c r="U127"/>
  <c r="R127"/>
  <c r="P127"/>
  <c r="N127"/>
  <c r="K127"/>
  <c r="H127"/>
  <c r="E127"/>
  <c r="D127" s="1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D123"/>
  <c r="W122"/>
  <c r="U122"/>
  <c r="R122"/>
  <c r="P122"/>
  <c r="N122"/>
  <c r="K122"/>
  <c r="H122"/>
  <c r="E122"/>
  <c r="D122" s="1"/>
  <c r="W121"/>
  <c r="U121"/>
  <c r="R121"/>
  <c r="P121"/>
  <c r="N121"/>
  <c r="K121"/>
  <c r="H121"/>
  <c r="E121"/>
  <c r="D121" s="1"/>
  <c r="W120"/>
  <c r="U120"/>
  <c r="R120"/>
  <c r="P120"/>
  <c r="N120"/>
  <c r="K120"/>
  <c r="H120"/>
  <c r="E120"/>
  <c r="W119"/>
  <c r="U119"/>
  <c r="R119"/>
  <c r="P119"/>
  <c r="N119"/>
  <c r="K119"/>
  <c r="H119"/>
  <c r="E119"/>
  <c r="D119" s="1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D115"/>
  <c r="W114"/>
  <c r="U114"/>
  <c r="R114"/>
  <c r="P114"/>
  <c r="N114"/>
  <c r="K114"/>
  <c r="H114"/>
  <c r="E114"/>
  <c r="D114" s="1"/>
  <c r="W113"/>
  <c r="U113"/>
  <c r="R113"/>
  <c r="P113"/>
  <c r="N113"/>
  <c r="K113"/>
  <c r="H113"/>
  <c r="E113"/>
  <c r="D113" s="1"/>
  <c r="W112"/>
  <c r="U112"/>
  <c r="R112"/>
  <c r="P112"/>
  <c r="N112"/>
  <c r="K112"/>
  <c r="H112"/>
  <c r="E112"/>
  <c r="W111"/>
  <c r="U111"/>
  <c r="R111"/>
  <c r="P111"/>
  <c r="N111"/>
  <c r="K111"/>
  <c r="H111"/>
  <c r="E111"/>
  <c r="D111" s="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D107"/>
  <c r="W106"/>
  <c r="U106"/>
  <c r="R106"/>
  <c r="P106"/>
  <c r="N106"/>
  <c r="K106"/>
  <c r="H106"/>
  <c r="E106"/>
  <c r="D106" s="1"/>
  <c r="W105"/>
  <c r="U105"/>
  <c r="R105"/>
  <c r="P105"/>
  <c r="N105"/>
  <c r="K105"/>
  <c r="H105"/>
  <c r="E105"/>
  <c r="D105" s="1"/>
  <c r="W104"/>
  <c r="U104"/>
  <c r="R104"/>
  <c r="P104"/>
  <c r="N104"/>
  <c r="K104"/>
  <c r="H104"/>
  <c r="E104"/>
  <c r="W103"/>
  <c r="U103"/>
  <c r="R103"/>
  <c r="P103"/>
  <c r="N103"/>
  <c r="K103"/>
  <c r="H103"/>
  <c r="E103"/>
  <c r="D103" s="1"/>
  <c r="W98"/>
  <c r="U98"/>
  <c r="R98"/>
  <c r="P98"/>
  <c r="N98"/>
  <c r="K98"/>
  <c r="K95" s="1"/>
  <c r="H98"/>
  <c r="E98"/>
  <c r="D98"/>
  <c r="D95" s="1"/>
  <c r="W97"/>
  <c r="U97"/>
  <c r="R97"/>
  <c r="P97"/>
  <c r="N97"/>
  <c r="E97"/>
  <c r="D97"/>
  <c r="W96"/>
  <c r="U96"/>
  <c r="R96"/>
  <c r="P96"/>
  <c r="N96"/>
  <c r="E96"/>
  <c r="D96"/>
  <c r="X95"/>
  <c r="V95"/>
  <c r="T95"/>
  <c r="S95"/>
  <c r="Q95"/>
  <c r="O95"/>
  <c r="J95"/>
  <c r="G95"/>
  <c r="F95"/>
  <c r="W94"/>
  <c r="U94"/>
  <c r="R94"/>
  <c r="P94"/>
  <c r="N94"/>
  <c r="E94"/>
  <c r="D94"/>
  <c r="W93"/>
  <c r="U93"/>
  <c r="R93"/>
  <c r="P93"/>
  <c r="N93"/>
  <c r="E93"/>
  <c r="D93"/>
  <c r="W92"/>
  <c r="U92"/>
  <c r="R92"/>
  <c r="R88" s="1"/>
  <c r="P92"/>
  <c r="N92"/>
  <c r="E92"/>
  <c r="W91"/>
  <c r="U91"/>
  <c r="R91"/>
  <c r="P91"/>
  <c r="N91"/>
  <c r="E91"/>
  <c r="D91"/>
  <c r="W90"/>
  <c r="U90"/>
  <c r="R90"/>
  <c r="P90"/>
  <c r="N90"/>
  <c r="E90"/>
  <c r="D90"/>
  <c r="W89"/>
  <c r="U89"/>
  <c r="R89"/>
  <c r="P89"/>
  <c r="N89"/>
  <c r="E89"/>
  <c r="D89"/>
  <c r="X88"/>
  <c r="V88"/>
  <c r="T88"/>
  <c r="S88"/>
  <c r="Q88"/>
  <c r="O88"/>
  <c r="G88"/>
  <c r="F88"/>
  <c r="E88"/>
  <c r="W87"/>
  <c r="U87"/>
  <c r="R87"/>
  <c r="P87"/>
  <c r="N87"/>
  <c r="H87"/>
  <c r="E87"/>
  <c r="D87"/>
  <c r="W86"/>
  <c r="U86"/>
  <c r="R86"/>
  <c r="P86"/>
  <c r="N86"/>
  <c r="H86"/>
  <c r="E86"/>
  <c r="W85"/>
  <c r="U85"/>
  <c r="R85"/>
  <c r="P85"/>
  <c r="N85"/>
  <c r="H85"/>
  <c r="E85"/>
  <c r="D85"/>
  <c r="W84"/>
  <c r="U84"/>
  <c r="R84"/>
  <c r="P84"/>
  <c r="N84"/>
  <c r="H84"/>
  <c r="E84"/>
  <c r="W83"/>
  <c r="U83"/>
  <c r="R83"/>
  <c r="P83"/>
  <c r="N83"/>
  <c r="K83"/>
  <c r="H83"/>
  <c r="E83"/>
  <c r="D83"/>
  <c r="W82"/>
  <c r="U82"/>
  <c r="R82"/>
  <c r="P82"/>
  <c r="N82"/>
  <c r="K82"/>
  <c r="H82"/>
  <c r="E82"/>
  <c r="W81"/>
  <c r="U81"/>
  <c r="R81"/>
  <c r="P81"/>
  <c r="N81"/>
  <c r="H81"/>
  <c r="E81"/>
  <c r="D81"/>
  <c r="W80"/>
  <c r="U80"/>
  <c r="R80"/>
  <c r="P80"/>
  <c r="N80"/>
  <c r="H80"/>
  <c r="E80"/>
  <c r="W79"/>
  <c r="U79"/>
  <c r="R79"/>
  <c r="P79"/>
  <c r="N79"/>
  <c r="H79"/>
  <c r="E79"/>
  <c r="D79"/>
  <c r="W78"/>
  <c r="U78"/>
  <c r="R78"/>
  <c r="P78"/>
  <c r="N78"/>
  <c r="H78"/>
  <c r="E78"/>
  <c r="W77"/>
  <c r="U77"/>
  <c r="R77"/>
  <c r="P77"/>
  <c r="N77"/>
  <c r="K77"/>
  <c r="H77"/>
  <c r="E77"/>
  <c r="D77"/>
  <c r="W76"/>
  <c r="U76"/>
  <c r="R76"/>
  <c r="P76"/>
  <c r="N76"/>
  <c r="K76"/>
  <c r="H76"/>
  <c r="E76"/>
  <c r="X75"/>
  <c r="V75"/>
  <c r="T75"/>
  <c r="S75"/>
  <c r="R75"/>
  <c r="Q75"/>
  <c r="P75"/>
  <c r="O75"/>
  <c r="N75"/>
  <c r="K75"/>
  <c r="H75"/>
  <c r="G75"/>
  <c r="F75"/>
  <c r="E75" s="1"/>
  <c r="X74"/>
  <c r="W74"/>
  <c r="V74"/>
  <c r="U74"/>
  <c r="T74"/>
  <c r="S74"/>
  <c r="Q74"/>
  <c r="O74"/>
  <c r="K74"/>
  <c r="H74"/>
  <c r="G74"/>
  <c r="F74"/>
  <c r="E74" s="1"/>
  <c r="X73"/>
  <c r="V73"/>
  <c r="T73"/>
  <c r="S73"/>
  <c r="R73"/>
  <c r="Q73"/>
  <c r="P73"/>
  <c r="O73"/>
  <c r="N73"/>
  <c r="J73"/>
  <c r="G73"/>
  <c r="W72"/>
  <c r="U72"/>
  <c r="R72"/>
  <c r="P72"/>
  <c r="N72"/>
  <c r="E72"/>
  <c r="D72"/>
  <c r="W71"/>
  <c r="U71"/>
  <c r="R71"/>
  <c r="P71"/>
  <c r="N71"/>
  <c r="E71"/>
  <c r="D71"/>
  <c r="W70"/>
  <c r="U70"/>
  <c r="R70"/>
  <c r="P70"/>
  <c r="N70"/>
  <c r="E70"/>
  <c r="D70"/>
  <c r="W69"/>
  <c r="U69"/>
  <c r="R69"/>
  <c r="P69"/>
  <c r="N69"/>
  <c r="E69"/>
  <c r="D69"/>
  <c r="W68"/>
  <c r="U68"/>
  <c r="R68"/>
  <c r="P68"/>
  <c r="N68"/>
  <c r="E68"/>
  <c r="D68"/>
  <c r="W67"/>
  <c r="U67"/>
  <c r="R67"/>
  <c r="P67"/>
  <c r="N67"/>
  <c r="E67"/>
  <c r="D67"/>
  <c r="W66"/>
  <c r="U66"/>
  <c r="R66"/>
  <c r="P66"/>
  <c r="N66"/>
  <c r="E66"/>
  <c r="D66"/>
  <c r="W65"/>
  <c r="U65"/>
  <c r="R65"/>
  <c r="P65"/>
  <c r="N65"/>
  <c r="E65"/>
  <c r="D65"/>
  <c r="W64"/>
  <c r="U64"/>
  <c r="R64"/>
  <c r="P64"/>
  <c r="N64"/>
  <c r="E64"/>
  <c r="D64"/>
  <c r="W63"/>
  <c r="U63"/>
  <c r="R63"/>
  <c r="P63"/>
  <c r="N63"/>
  <c r="E63"/>
  <c r="D63"/>
  <c r="W62"/>
  <c r="U62"/>
  <c r="R62"/>
  <c r="P62"/>
  <c r="N62"/>
  <c r="E62"/>
  <c r="D62"/>
  <c r="W61"/>
  <c r="U61"/>
  <c r="R61"/>
  <c r="P61"/>
  <c r="N61"/>
  <c r="E61"/>
  <c r="D61"/>
  <c r="W60"/>
  <c r="U60"/>
  <c r="R60"/>
  <c r="P60"/>
  <c r="N60"/>
  <c r="E60"/>
  <c r="D60"/>
  <c r="W59"/>
  <c r="U59"/>
  <c r="R59"/>
  <c r="P59"/>
  <c r="N59"/>
  <c r="E59"/>
  <c r="D59"/>
  <c r="W58"/>
  <c r="U58"/>
  <c r="R58"/>
  <c r="P58"/>
  <c r="N58"/>
  <c r="E58"/>
  <c r="D58"/>
  <c r="W57"/>
  <c r="U57"/>
  <c r="R57"/>
  <c r="P57"/>
  <c r="N57"/>
  <c r="E57"/>
  <c r="D57"/>
  <c r="W56"/>
  <c r="U56"/>
  <c r="R56"/>
  <c r="P56"/>
  <c r="N56"/>
  <c r="E56"/>
  <c r="D56"/>
  <c r="W55"/>
  <c r="U55"/>
  <c r="R55"/>
  <c r="P55"/>
  <c r="N55"/>
  <c r="D55"/>
  <c r="E55"/>
  <c r="W54"/>
  <c r="U54"/>
  <c r="R54"/>
  <c r="P54"/>
  <c r="N54"/>
  <c r="H54"/>
  <c r="D54" s="1"/>
  <c r="E54"/>
  <c r="W53"/>
  <c r="U53"/>
  <c r="R53"/>
  <c r="P53"/>
  <c r="N53"/>
  <c r="H53"/>
  <c r="D53" s="1"/>
  <c r="E53"/>
  <c r="W52"/>
  <c r="U52"/>
  <c r="R52"/>
  <c r="P52"/>
  <c r="N52"/>
  <c r="D101"/>
  <c r="E52"/>
  <c r="W51"/>
  <c r="U51"/>
  <c r="R51"/>
  <c r="P51"/>
  <c r="N51"/>
  <c r="D51"/>
  <c r="E51"/>
  <c r="W50"/>
  <c r="U50"/>
  <c r="R50"/>
  <c r="P50"/>
  <c r="N50"/>
  <c r="E50"/>
  <c r="D50"/>
  <c r="W49"/>
  <c r="U49"/>
  <c r="R49"/>
  <c r="P49"/>
  <c r="N49"/>
  <c r="E49"/>
  <c r="D49"/>
  <c r="W48"/>
  <c r="U48"/>
  <c r="R48"/>
  <c r="P48"/>
  <c r="N48"/>
  <c r="E48"/>
  <c r="D48"/>
  <c r="W47"/>
  <c r="U47"/>
  <c r="R47"/>
  <c r="P47"/>
  <c r="N47"/>
  <c r="E47"/>
  <c r="D47"/>
  <c r="W46"/>
  <c r="U46"/>
  <c r="R46"/>
  <c r="P46"/>
  <c r="N46"/>
  <c r="H46"/>
  <c r="E46"/>
  <c r="D46"/>
  <c r="W45"/>
  <c r="U45"/>
  <c r="R45"/>
  <c r="P45"/>
  <c r="N45"/>
  <c r="H45"/>
  <c r="E45"/>
  <c r="U44"/>
  <c r="R44"/>
  <c r="P44"/>
  <c r="N44"/>
  <c r="E44"/>
  <c r="D44"/>
  <c r="U43"/>
  <c r="R43"/>
  <c r="P43"/>
  <c r="N43"/>
  <c r="E43"/>
  <c r="D43"/>
  <c r="U42"/>
  <c r="R42"/>
  <c r="P42"/>
  <c r="N42"/>
  <c r="H42"/>
  <c r="E42"/>
  <c r="U41"/>
  <c r="R41"/>
  <c r="P41"/>
  <c r="N41"/>
  <c r="H41"/>
  <c r="E41"/>
  <c r="W40"/>
  <c r="U40"/>
  <c r="R40"/>
  <c r="P40"/>
  <c r="N40"/>
  <c r="K40"/>
  <c r="D40" s="1"/>
  <c r="E40"/>
  <c r="W39"/>
  <c r="U39"/>
  <c r="R39"/>
  <c r="P39"/>
  <c r="N39"/>
  <c r="K39"/>
  <c r="D39" s="1"/>
  <c r="E39"/>
  <c r="W38"/>
  <c r="U38"/>
  <c r="R38"/>
  <c r="P38"/>
  <c r="N38"/>
  <c r="E38"/>
  <c r="W37"/>
  <c r="U37"/>
  <c r="R37"/>
  <c r="P37"/>
  <c r="N37"/>
  <c r="H37"/>
  <c r="D37" s="1"/>
  <c r="E37"/>
  <c r="W36"/>
  <c r="U36"/>
  <c r="R36"/>
  <c r="P36"/>
  <c r="N36"/>
  <c r="H36"/>
  <c r="D36" s="1"/>
  <c r="E36"/>
  <c r="W35"/>
  <c r="U35"/>
  <c r="R35"/>
  <c r="P35"/>
  <c r="D35"/>
  <c r="E35"/>
  <c r="W34"/>
  <c r="U34"/>
  <c r="R34"/>
  <c r="P34"/>
  <c r="E34"/>
  <c r="W33"/>
  <c r="U33"/>
  <c r="R33"/>
  <c r="P33"/>
  <c r="N33"/>
  <c r="H33"/>
  <c r="E33"/>
  <c r="D33"/>
  <c r="W32"/>
  <c r="U32"/>
  <c r="R32"/>
  <c r="P32"/>
  <c r="N32"/>
  <c r="E32"/>
  <c r="D32"/>
  <c r="W31"/>
  <c r="U31"/>
  <c r="R31"/>
  <c r="P31"/>
  <c r="N31"/>
  <c r="E31"/>
  <c r="D31"/>
  <c r="W30"/>
  <c r="U30"/>
  <c r="R30"/>
  <c r="P30"/>
  <c r="N30"/>
  <c r="E30"/>
  <c r="D30"/>
  <c r="W29"/>
  <c r="U29"/>
  <c r="R29"/>
  <c r="P29"/>
  <c r="N29"/>
  <c r="E29"/>
  <c r="D29"/>
  <c r="W28"/>
  <c r="U28"/>
  <c r="R28"/>
  <c r="P28"/>
  <c r="N28"/>
  <c r="H28"/>
  <c r="E28"/>
  <c r="D28"/>
  <c r="W27"/>
  <c r="U27"/>
  <c r="R27"/>
  <c r="P27"/>
  <c r="N27"/>
  <c r="H27"/>
  <c r="E27"/>
  <c r="D27"/>
  <c r="W26"/>
  <c r="U26"/>
  <c r="R26"/>
  <c r="P26"/>
  <c r="N26"/>
  <c r="H26"/>
  <c r="E26"/>
  <c r="D26"/>
  <c r="W25"/>
  <c r="U25"/>
  <c r="R25"/>
  <c r="P25"/>
  <c r="N25"/>
  <c r="H25"/>
  <c r="E25"/>
  <c r="D25"/>
  <c r="W24"/>
  <c r="U24"/>
  <c r="R24"/>
  <c r="P24"/>
  <c r="N24"/>
  <c r="H24"/>
  <c r="E24"/>
  <c r="D24"/>
  <c r="W23"/>
  <c r="U23"/>
  <c r="R23"/>
  <c r="P23"/>
  <c r="N23"/>
  <c r="H23"/>
  <c r="E23"/>
  <c r="D23"/>
  <c r="W22"/>
  <c r="U22"/>
  <c r="R22"/>
  <c r="P22"/>
  <c r="N22"/>
  <c r="E22"/>
  <c r="D22"/>
  <c r="W21"/>
  <c r="U21"/>
  <c r="R21"/>
  <c r="P21"/>
  <c r="N21"/>
  <c r="E21"/>
  <c r="W20"/>
  <c r="U20"/>
  <c r="R20"/>
  <c r="P20"/>
  <c r="P16" s="1"/>
  <c r="N20"/>
  <c r="H20"/>
  <c r="E20"/>
  <c r="W19"/>
  <c r="W17" s="1"/>
  <c r="U19"/>
  <c r="R19"/>
  <c r="P19"/>
  <c r="N19"/>
  <c r="H19"/>
  <c r="D19" s="1"/>
  <c r="E19"/>
  <c r="W18"/>
  <c r="W16" s="1"/>
  <c r="U18"/>
  <c r="R18"/>
  <c r="R16" s="1"/>
  <c r="P18"/>
  <c r="N18"/>
  <c r="N16" s="1"/>
  <c r="H18"/>
  <c r="D18" s="1"/>
  <c r="E18"/>
  <c r="X17"/>
  <c r="V17"/>
  <c r="U17"/>
  <c r="T17"/>
  <c r="S17"/>
  <c r="R17"/>
  <c r="Q17"/>
  <c r="P17"/>
  <c r="O17"/>
  <c r="N17"/>
  <c r="H17"/>
  <c r="D17" s="1"/>
  <c r="G17"/>
  <c r="G14" s="1"/>
  <c r="F17"/>
  <c r="X16"/>
  <c r="V16"/>
  <c r="U16"/>
  <c r="T16"/>
  <c r="S16"/>
  <c r="Q16"/>
  <c r="O16"/>
  <c r="H16"/>
  <c r="G16"/>
  <c r="F16"/>
  <c r="H15"/>
  <c r="E15"/>
  <c r="H73" l="1"/>
  <c r="N88"/>
  <c r="W88"/>
  <c r="U88"/>
  <c r="U95"/>
  <c r="W95"/>
  <c r="D109"/>
  <c r="D110"/>
  <c r="D117"/>
  <c r="D118"/>
  <c r="D125"/>
  <c r="D126"/>
  <c r="H129"/>
  <c r="K129"/>
  <c r="D135"/>
  <c r="D136"/>
  <c r="P74"/>
  <c r="W75"/>
  <c r="W73" s="1"/>
  <c r="U75"/>
  <c r="U73" s="1"/>
  <c r="N74"/>
  <c r="R74"/>
  <c r="D129"/>
  <c r="E16"/>
  <c r="E17"/>
  <c r="E14" s="1"/>
  <c r="F73"/>
  <c r="E73" s="1"/>
  <c r="P88"/>
  <c r="O99"/>
  <c r="S99"/>
  <c r="N95"/>
  <c r="R95"/>
  <c r="P95"/>
  <c r="P99" s="1"/>
  <c r="D104"/>
  <c r="D108"/>
  <c r="D112"/>
  <c r="D116"/>
  <c r="D120"/>
  <c r="D124"/>
  <c r="D128"/>
  <c r="D130"/>
  <c r="D134"/>
  <c r="D138"/>
  <c r="D142"/>
  <c r="D144"/>
  <c r="D146"/>
  <c r="K88"/>
  <c r="K99"/>
  <c r="M101" s="1"/>
  <c r="D88"/>
  <c r="D99" s="1"/>
  <c r="T99"/>
  <c r="V99"/>
  <c r="X99"/>
  <c r="Q99"/>
  <c r="U99"/>
  <c r="D150"/>
  <c r="D151"/>
  <c r="I101"/>
  <c r="H95"/>
  <c r="D75"/>
  <c r="D73" s="1"/>
  <c r="D15"/>
  <c r="D16"/>
  <c r="F14"/>
  <c r="D74"/>
  <c r="F99"/>
  <c r="N99"/>
  <c r="R99"/>
  <c r="W99"/>
  <c r="G99"/>
  <c r="D41"/>
  <c r="D42"/>
  <c r="D45"/>
  <c r="D76"/>
  <c r="D78"/>
  <c r="D80"/>
  <c r="D82"/>
  <c r="D84"/>
  <c r="D86"/>
  <c r="E95"/>
  <c r="H100" i="42"/>
  <c r="H15"/>
  <c r="E100" i="43" l="1"/>
  <c r="J101" s="1"/>
  <c r="E99"/>
  <c r="I15" i="42"/>
  <c r="H17"/>
  <c r="H18"/>
  <c r="H44"/>
  <c r="H45"/>
  <c r="H47"/>
  <c r="H52"/>
  <c r="H55"/>
  <c r="G55" s="1"/>
  <c r="E55" s="1"/>
  <c r="F55" s="1"/>
  <c r="H93"/>
  <c r="I100"/>
  <c r="G100" s="1"/>
  <c r="F100" s="1"/>
  <c r="E133"/>
  <c r="E134"/>
  <c r="E138"/>
  <c r="E137"/>
  <c r="E144"/>
  <c r="E143"/>
  <c r="G146"/>
  <c r="G145"/>
  <c r="G142"/>
  <c r="G141"/>
  <c r="G140"/>
  <c r="E140" s="1"/>
  <c r="G139"/>
  <c r="E139" s="1"/>
  <c r="G136"/>
  <c r="G135"/>
  <c r="G132"/>
  <c r="G131"/>
  <c r="G130"/>
  <c r="E130" s="1"/>
  <c r="G129"/>
  <c r="E129" s="1"/>
  <c r="G57"/>
  <c r="E57" s="1"/>
  <c r="F57" s="1"/>
  <c r="G56"/>
  <c r="E56" s="1"/>
  <c r="F56" s="1"/>
  <c r="G54"/>
  <c r="E54" s="1"/>
  <c r="F54" s="1"/>
  <c r="I34"/>
  <c r="G34" s="1"/>
  <c r="E34" s="1"/>
  <c r="F34" s="1"/>
  <c r="I33"/>
  <c r="H33"/>
  <c r="I32"/>
  <c r="H32"/>
  <c r="I31"/>
  <c r="H31"/>
  <c r="I30"/>
  <c r="H30"/>
  <c r="I29"/>
  <c r="G29" s="1"/>
  <c r="E29" s="1"/>
  <c r="F29" s="1"/>
  <c r="I28"/>
  <c r="G28" s="1"/>
  <c r="E28" s="1"/>
  <c r="F28" s="1"/>
  <c r="I27"/>
  <c r="G27" s="1"/>
  <c r="E27" s="1"/>
  <c r="F27" s="1"/>
  <c r="I26"/>
  <c r="G26" s="1"/>
  <c r="E26" s="1"/>
  <c r="F26" s="1"/>
  <c r="I24"/>
  <c r="G24" s="1"/>
  <c r="E24" s="1"/>
  <c r="F24" s="1"/>
  <c r="G22"/>
  <c r="E22" s="1"/>
  <c r="F22" s="1"/>
  <c r="G21"/>
  <c r="E21" s="1"/>
  <c r="F21" s="1"/>
  <c r="G18"/>
  <c r="E18" s="1"/>
  <c r="F18" s="1"/>
  <c r="G17"/>
  <c r="E17" s="1"/>
  <c r="F17" s="1"/>
  <c r="G16"/>
  <c r="E16" s="1"/>
  <c r="F16" s="1"/>
  <c r="G15"/>
  <c r="E15" s="1"/>
  <c r="F15" s="1"/>
  <c r="G30" l="1"/>
  <c r="E30" s="1"/>
  <c r="G31"/>
  <c r="E31" s="1"/>
  <c r="G32"/>
  <c r="E32" s="1"/>
  <c r="G33"/>
  <c r="E33" s="1"/>
  <c r="H26" i="41"/>
  <c r="W156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W140" s="1"/>
  <c r="U142"/>
  <c r="R142"/>
  <c r="P142"/>
  <c r="N142"/>
  <c r="K142"/>
  <c r="E142"/>
  <c r="W141"/>
  <c r="U141"/>
  <c r="R141"/>
  <c r="P141"/>
  <c r="P139" s="1"/>
  <c r="N141"/>
  <c r="K141"/>
  <c r="E141"/>
  <c r="X140"/>
  <c r="V140"/>
  <c r="U140"/>
  <c r="T140"/>
  <c r="S140"/>
  <c r="R140"/>
  <c r="Q140"/>
  <c r="P140"/>
  <c r="O140"/>
  <c r="N140"/>
  <c r="M140"/>
  <c r="L140"/>
  <c r="K140"/>
  <c r="J140"/>
  <c r="G140"/>
  <c r="F140"/>
  <c r="X139"/>
  <c r="W139"/>
  <c r="V139"/>
  <c r="U139"/>
  <c r="T139"/>
  <c r="S139"/>
  <c r="R139"/>
  <c r="Q139"/>
  <c r="O139"/>
  <c r="N139"/>
  <c r="M139"/>
  <c r="L139"/>
  <c r="J139"/>
  <c r="G139"/>
  <c r="F139"/>
  <c r="E139"/>
  <c r="W138"/>
  <c r="U138"/>
  <c r="R138"/>
  <c r="P138"/>
  <c r="N138"/>
  <c r="K138"/>
  <c r="H138"/>
  <c r="E138"/>
  <c r="W137"/>
  <c r="U137"/>
  <c r="R137"/>
  <c r="P137"/>
  <c r="N137"/>
  <c r="K137"/>
  <c r="H137"/>
  <c r="E137"/>
  <c r="D137"/>
  <c r="W136"/>
  <c r="U136"/>
  <c r="R136"/>
  <c r="P136"/>
  <c r="N136"/>
  <c r="K136"/>
  <c r="H136"/>
  <c r="E136"/>
  <c r="D136" s="1"/>
  <c r="W135"/>
  <c r="U135"/>
  <c r="R135"/>
  <c r="P135"/>
  <c r="N135"/>
  <c r="K135"/>
  <c r="H135"/>
  <c r="E135"/>
  <c r="D135" s="1"/>
  <c r="W134"/>
  <c r="U134"/>
  <c r="R134"/>
  <c r="P134"/>
  <c r="N134"/>
  <c r="K134"/>
  <c r="H134"/>
  <c r="E134"/>
  <c r="W133"/>
  <c r="U133"/>
  <c r="R133"/>
  <c r="P133"/>
  <c r="N133"/>
  <c r="K133"/>
  <c r="H133"/>
  <c r="E133"/>
  <c r="D133"/>
  <c r="W132"/>
  <c r="U132"/>
  <c r="R132"/>
  <c r="P132"/>
  <c r="N132"/>
  <c r="K132"/>
  <c r="H132"/>
  <c r="E132"/>
  <c r="D132" s="1"/>
  <c r="W131"/>
  <c r="U131"/>
  <c r="R131"/>
  <c r="P131"/>
  <c r="N131"/>
  <c r="K131"/>
  <c r="H131"/>
  <c r="E131"/>
  <c r="D131" s="1"/>
  <c r="W130"/>
  <c r="U130"/>
  <c r="R130"/>
  <c r="P130"/>
  <c r="N130"/>
  <c r="K130"/>
  <c r="H130"/>
  <c r="E130"/>
  <c r="W129"/>
  <c r="U129"/>
  <c r="R129"/>
  <c r="P129"/>
  <c r="N129"/>
  <c r="K129"/>
  <c r="H129"/>
  <c r="E129"/>
  <c r="D129"/>
  <c r="X128"/>
  <c r="W128"/>
  <c r="V128"/>
  <c r="U128"/>
  <c r="T128"/>
  <c r="S128"/>
  <c r="R128" s="1"/>
  <c r="Q128"/>
  <c r="P128" s="1"/>
  <c r="O128"/>
  <c r="N128" s="1"/>
  <c r="M128"/>
  <c r="L128"/>
  <c r="K128" s="1"/>
  <c r="J128"/>
  <c r="I128"/>
  <c r="G128"/>
  <c r="F128"/>
  <c r="E128"/>
  <c r="W127"/>
  <c r="U127"/>
  <c r="R127"/>
  <c r="P127"/>
  <c r="N127"/>
  <c r="K127"/>
  <c r="H127"/>
  <c r="E127"/>
  <c r="D127" s="1"/>
  <c r="W126"/>
  <c r="U126"/>
  <c r="R126"/>
  <c r="P126"/>
  <c r="N126"/>
  <c r="K126"/>
  <c r="H126"/>
  <c r="E126"/>
  <c r="W125"/>
  <c r="U125"/>
  <c r="R125"/>
  <c r="P125"/>
  <c r="N125"/>
  <c r="K125"/>
  <c r="H125"/>
  <c r="E125"/>
  <c r="D125"/>
  <c r="W124"/>
  <c r="U124"/>
  <c r="R124"/>
  <c r="P124"/>
  <c r="N124"/>
  <c r="K124"/>
  <c r="H124"/>
  <c r="E124"/>
  <c r="D124" s="1"/>
  <c r="W123"/>
  <c r="U123"/>
  <c r="R123"/>
  <c r="P123"/>
  <c r="N123"/>
  <c r="K123"/>
  <c r="H123"/>
  <c r="E123"/>
  <c r="D123" s="1"/>
  <c r="W122"/>
  <c r="U122"/>
  <c r="R122"/>
  <c r="P122"/>
  <c r="N122"/>
  <c r="K122"/>
  <c r="H122"/>
  <c r="E122"/>
  <c r="W121"/>
  <c r="U121"/>
  <c r="R121"/>
  <c r="P121"/>
  <c r="N121"/>
  <c r="K121"/>
  <c r="H121"/>
  <c r="E121"/>
  <c r="D121"/>
  <c r="W120"/>
  <c r="U120"/>
  <c r="R120"/>
  <c r="P120"/>
  <c r="N120"/>
  <c r="K120"/>
  <c r="H120"/>
  <c r="E120"/>
  <c r="D120" s="1"/>
  <c r="W119"/>
  <c r="U119"/>
  <c r="R119"/>
  <c r="P119"/>
  <c r="N119"/>
  <c r="K119"/>
  <c r="H119"/>
  <c r="E119"/>
  <c r="D119" s="1"/>
  <c r="W118"/>
  <c r="U118"/>
  <c r="R118"/>
  <c r="P118"/>
  <c r="N118"/>
  <c r="K118"/>
  <c r="H118"/>
  <c r="E118"/>
  <c r="W117"/>
  <c r="U117"/>
  <c r="R117"/>
  <c r="P117"/>
  <c r="N117"/>
  <c r="K117"/>
  <c r="H117"/>
  <c r="E117"/>
  <c r="D117"/>
  <c r="W116"/>
  <c r="U116"/>
  <c r="R116"/>
  <c r="P116"/>
  <c r="N116"/>
  <c r="K116"/>
  <c r="H116"/>
  <c r="E116"/>
  <c r="D116" s="1"/>
  <c r="W115"/>
  <c r="U115"/>
  <c r="R115"/>
  <c r="P115"/>
  <c r="N115"/>
  <c r="K115"/>
  <c r="H115"/>
  <c r="E115"/>
  <c r="D115" s="1"/>
  <c r="W114"/>
  <c r="U114"/>
  <c r="R114"/>
  <c r="P114"/>
  <c r="N114"/>
  <c r="K114"/>
  <c r="H114"/>
  <c r="E114"/>
  <c r="W113"/>
  <c r="U113"/>
  <c r="R113"/>
  <c r="P113"/>
  <c r="N113"/>
  <c r="K113"/>
  <c r="H113"/>
  <c r="E113"/>
  <c r="D113"/>
  <c r="W112"/>
  <c r="U112"/>
  <c r="R112"/>
  <c r="P112"/>
  <c r="N112"/>
  <c r="K112"/>
  <c r="H112"/>
  <c r="E112"/>
  <c r="D112" s="1"/>
  <c r="W111"/>
  <c r="U111"/>
  <c r="R111"/>
  <c r="P111"/>
  <c r="N111"/>
  <c r="K111"/>
  <c r="H111"/>
  <c r="E111"/>
  <c r="D111" s="1"/>
  <c r="W110"/>
  <c r="U110"/>
  <c r="R110"/>
  <c r="P110"/>
  <c r="N110"/>
  <c r="K110"/>
  <c r="H110"/>
  <c r="E110"/>
  <c r="W109"/>
  <c r="U109"/>
  <c r="R109"/>
  <c r="P109"/>
  <c r="N109"/>
  <c r="K109"/>
  <c r="H109"/>
  <c r="E109"/>
  <c r="D109" s="1"/>
  <c r="W108"/>
  <c r="U108"/>
  <c r="R108"/>
  <c r="P108"/>
  <c r="N108"/>
  <c r="K108"/>
  <c r="H108"/>
  <c r="E108"/>
  <c r="W107"/>
  <c r="U107"/>
  <c r="R107"/>
  <c r="P107"/>
  <c r="N107"/>
  <c r="K107"/>
  <c r="H107"/>
  <c r="E107"/>
  <c r="D107"/>
  <c r="W106"/>
  <c r="U106"/>
  <c r="R106"/>
  <c r="P106"/>
  <c r="N106"/>
  <c r="K106"/>
  <c r="H106"/>
  <c r="E106"/>
  <c r="D106" s="1"/>
  <c r="W105"/>
  <c r="U105"/>
  <c r="R105"/>
  <c r="P105"/>
  <c r="N105"/>
  <c r="K105"/>
  <c r="H105"/>
  <c r="E105"/>
  <c r="D105" s="1"/>
  <c r="W104"/>
  <c r="U104"/>
  <c r="R104"/>
  <c r="P104"/>
  <c r="N104"/>
  <c r="K104"/>
  <c r="H104"/>
  <c r="E104"/>
  <c r="W103"/>
  <c r="U103"/>
  <c r="R103"/>
  <c r="P103"/>
  <c r="N103"/>
  <c r="K103"/>
  <c r="H103"/>
  <c r="E103"/>
  <c r="D103"/>
  <c r="W102"/>
  <c r="U102"/>
  <c r="R102"/>
  <c r="P102"/>
  <c r="N102"/>
  <c r="K102"/>
  <c r="H102"/>
  <c r="E102"/>
  <c r="D102" s="1"/>
  <c r="W97"/>
  <c r="U97"/>
  <c r="R97"/>
  <c r="P97"/>
  <c r="N97"/>
  <c r="E97"/>
  <c r="W96"/>
  <c r="W94" s="1"/>
  <c r="U96"/>
  <c r="R96"/>
  <c r="P96"/>
  <c r="N96"/>
  <c r="E96"/>
  <c r="E94" s="1"/>
  <c r="W95"/>
  <c r="U95"/>
  <c r="U94" s="1"/>
  <c r="R95"/>
  <c r="P95"/>
  <c r="N95"/>
  <c r="E95"/>
  <c r="X94"/>
  <c r="X98" s="1"/>
  <c r="V94"/>
  <c r="V98" s="1"/>
  <c r="T94"/>
  <c r="T98" s="1"/>
  <c r="S94"/>
  <c r="R94"/>
  <c r="Q94"/>
  <c r="P94"/>
  <c r="O94"/>
  <c r="N94"/>
  <c r="G94"/>
  <c r="F94"/>
  <c r="W93"/>
  <c r="U93"/>
  <c r="R93"/>
  <c r="P93"/>
  <c r="N93"/>
  <c r="E93"/>
  <c r="E87" s="1"/>
  <c r="W92"/>
  <c r="U92"/>
  <c r="R92"/>
  <c r="P92"/>
  <c r="N92"/>
  <c r="E92"/>
  <c r="W91"/>
  <c r="U91"/>
  <c r="R91"/>
  <c r="R87" s="1"/>
  <c r="P91"/>
  <c r="N91"/>
  <c r="N87" s="1"/>
  <c r="E91"/>
  <c r="W90"/>
  <c r="U90"/>
  <c r="R90"/>
  <c r="P90"/>
  <c r="N90"/>
  <c r="W89"/>
  <c r="U89"/>
  <c r="R89"/>
  <c r="P89"/>
  <c r="P87" s="1"/>
  <c r="N89"/>
  <c r="E89"/>
  <c r="W88"/>
  <c r="U88"/>
  <c r="R88"/>
  <c r="P88"/>
  <c r="N88"/>
  <c r="E88"/>
  <c r="X87"/>
  <c r="W87"/>
  <c r="V87"/>
  <c r="U87"/>
  <c r="T87"/>
  <c r="S87"/>
  <c r="Q87"/>
  <c r="O87"/>
  <c r="G87"/>
  <c r="F87"/>
  <c r="W86"/>
  <c r="U86"/>
  <c r="R86"/>
  <c r="P86"/>
  <c r="N86"/>
  <c r="E86"/>
  <c r="W85"/>
  <c r="U85"/>
  <c r="R85"/>
  <c r="P85"/>
  <c r="N85"/>
  <c r="E85"/>
  <c r="W84"/>
  <c r="U84"/>
  <c r="R84"/>
  <c r="P84"/>
  <c r="N84"/>
  <c r="E84"/>
  <c r="W83"/>
  <c r="U83"/>
  <c r="R83"/>
  <c r="P83"/>
  <c r="N83"/>
  <c r="E83"/>
  <c r="W82"/>
  <c r="U82"/>
  <c r="R82"/>
  <c r="P82"/>
  <c r="N82"/>
  <c r="E82"/>
  <c r="W81"/>
  <c r="U81"/>
  <c r="R81"/>
  <c r="P81"/>
  <c r="N81"/>
  <c r="E81"/>
  <c r="W80"/>
  <c r="U80"/>
  <c r="R80"/>
  <c r="P80"/>
  <c r="N80"/>
  <c r="E80"/>
  <c r="W79"/>
  <c r="U79"/>
  <c r="R79"/>
  <c r="P79"/>
  <c r="N79"/>
  <c r="E79"/>
  <c r="W78"/>
  <c r="U78"/>
  <c r="R78"/>
  <c r="P78"/>
  <c r="N78"/>
  <c r="E78"/>
  <c r="W77"/>
  <c r="U77"/>
  <c r="R77"/>
  <c r="P77"/>
  <c r="N77"/>
  <c r="E77"/>
  <c r="W76"/>
  <c r="U76"/>
  <c r="R76"/>
  <c r="P76"/>
  <c r="P74" s="1"/>
  <c r="P72" s="1"/>
  <c r="N76"/>
  <c r="E76"/>
  <c r="E74" s="1"/>
  <c r="E72" s="1"/>
  <c r="W75"/>
  <c r="U75"/>
  <c r="U73" s="1"/>
  <c r="R75"/>
  <c r="P75"/>
  <c r="P73" s="1"/>
  <c r="N75"/>
  <c r="E75"/>
  <c r="X74"/>
  <c r="W74"/>
  <c r="V74"/>
  <c r="U74"/>
  <c r="T74"/>
  <c r="S74"/>
  <c r="R74"/>
  <c r="Q74"/>
  <c r="Q72" s="1"/>
  <c r="O74"/>
  <c r="N74"/>
  <c r="G74"/>
  <c r="F74"/>
  <c r="X73"/>
  <c r="W73"/>
  <c r="V73"/>
  <c r="T73"/>
  <c r="S73"/>
  <c r="R73"/>
  <c r="Q73"/>
  <c r="O73"/>
  <c r="N73"/>
  <c r="G73"/>
  <c r="F73"/>
  <c r="E73"/>
  <c r="X72"/>
  <c r="W72"/>
  <c r="V72"/>
  <c r="U72"/>
  <c r="T72"/>
  <c r="S72"/>
  <c r="O72"/>
  <c r="G72"/>
  <c r="F72"/>
  <c r="W71"/>
  <c r="U71"/>
  <c r="R71"/>
  <c r="P71"/>
  <c r="N71"/>
  <c r="W70"/>
  <c r="U70"/>
  <c r="R70"/>
  <c r="P70"/>
  <c r="N70"/>
  <c r="W69"/>
  <c r="U69"/>
  <c r="R69"/>
  <c r="P69"/>
  <c r="N69"/>
  <c r="W68"/>
  <c r="U68"/>
  <c r="R68"/>
  <c r="P68"/>
  <c r="N68"/>
  <c r="W67"/>
  <c r="U67"/>
  <c r="R67"/>
  <c r="P67"/>
  <c r="N67"/>
  <c r="W66"/>
  <c r="U66"/>
  <c r="R66"/>
  <c r="P66"/>
  <c r="N66"/>
  <c r="W65"/>
  <c r="U65"/>
  <c r="R65"/>
  <c r="P65"/>
  <c r="N65"/>
  <c r="W64"/>
  <c r="U64"/>
  <c r="R64"/>
  <c r="P64"/>
  <c r="N64"/>
  <c r="W63"/>
  <c r="U63"/>
  <c r="R63"/>
  <c r="P63"/>
  <c r="N63"/>
  <c r="W62"/>
  <c r="U62"/>
  <c r="R62"/>
  <c r="P62"/>
  <c r="N62"/>
  <c r="W61"/>
  <c r="U61"/>
  <c r="R61"/>
  <c r="P61"/>
  <c r="N61"/>
  <c r="W60"/>
  <c r="U60"/>
  <c r="R60"/>
  <c r="P60"/>
  <c r="N60"/>
  <c r="W59"/>
  <c r="U59"/>
  <c r="R59"/>
  <c r="P59"/>
  <c r="N59"/>
  <c r="E59"/>
  <c r="W58"/>
  <c r="U58"/>
  <c r="R58"/>
  <c r="P58"/>
  <c r="N58"/>
  <c r="E58"/>
  <c r="W57"/>
  <c r="U57"/>
  <c r="R57"/>
  <c r="P57"/>
  <c r="N57"/>
  <c r="E57"/>
  <c r="W56"/>
  <c r="U56"/>
  <c r="R56"/>
  <c r="P56"/>
  <c r="N56"/>
  <c r="E56"/>
  <c r="W55"/>
  <c r="U55"/>
  <c r="R55"/>
  <c r="P55"/>
  <c r="N55"/>
  <c r="E55"/>
  <c r="W54"/>
  <c r="U54"/>
  <c r="R54"/>
  <c r="P54"/>
  <c r="N54"/>
  <c r="E54"/>
  <c r="W53"/>
  <c r="U53"/>
  <c r="R53"/>
  <c r="P53"/>
  <c r="N53"/>
  <c r="E53"/>
  <c r="W52"/>
  <c r="U52"/>
  <c r="R52"/>
  <c r="P52"/>
  <c r="N52"/>
  <c r="E52"/>
  <c r="W51"/>
  <c r="U51"/>
  <c r="R51"/>
  <c r="P51"/>
  <c r="N51"/>
  <c r="E51"/>
  <c r="W50"/>
  <c r="U50"/>
  <c r="R50"/>
  <c r="P50"/>
  <c r="N50"/>
  <c r="E50"/>
  <c r="W49"/>
  <c r="U49"/>
  <c r="R49"/>
  <c r="P49"/>
  <c r="N49"/>
  <c r="E49"/>
  <c r="W48"/>
  <c r="U48"/>
  <c r="R48"/>
  <c r="P48"/>
  <c r="N48"/>
  <c r="E48"/>
  <c r="W47"/>
  <c r="U47"/>
  <c r="R47"/>
  <c r="P47"/>
  <c r="N47"/>
  <c r="E47"/>
  <c r="W46"/>
  <c r="U46"/>
  <c r="R46"/>
  <c r="P46"/>
  <c r="N46"/>
  <c r="E46"/>
  <c r="W45"/>
  <c r="U45"/>
  <c r="R45"/>
  <c r="P45"/>
  <c r="N45"/>
  <c r="E45"/>
  <c r="W44"/>
  <c r="U44"/>
  <c r="R44"/>
  <c r="P44"/>
  <c r="N44"/>
  <c r="E44"/>
  <c r="U43"/>
  <c r="R43"/>
  <c r="P43"/>
  <c r="N43"/>
  <c r="U42"/>
  <c r="R42"/>
  <c r="P42"/>
  <c r="N42"/>
  <c r="U41"/>
  <c r="R41"/>
  <c r="P41"/>
  <c r="N41"/>
  <c r="U40"/>
  <c r="R40"/>
  <c r="P40"/>
  <c r="N40"/>
  <c r="W39"/>
  <c r="U39"/>
  <c r="R39"/>
  <c r="P39"/>
  <c r="N39"/>
  <c r="E39"/>
  <c r="W38"/>
  <c r="U38"/>
  <c r="R38"/>
  <c r="P38"/>
  <c r="N38"/>
  <c r="E38"/>
  <c r="W37"/>
  <c r="U37"/>
  <c r="R37"/>
  <c r="P37"/>
  <c r="N37"/>
  <c r="E37"/>
  <c r="W36"/>
  <c r="U36"/>
  <c r="R36"/>
  <c r="P36"/>
  <c r="N36"/>
  <c r="E36"/>
  <c r="W35"/>
  <c r="U35"/>
  <c r="R35"/>
  <c r="P35"/>
  <c r="N35"/>
  <c r="E35"/>
  <c r="W34"/>
  <c r="U34"/>
  <c r="R34"/>
  <c r="P34"/>
  <c r="E34"/>
  <c r="W33"/>
  <c r="U33"/>
  <c r="R33"/>
  <c r="P33"/>
  <c r="E33"/>
  <c r="W32"/>
  <c r="U32"/>
  <c r="R32"/>
  <c r="P32"/>
  <c r="N32"/>
  <c r="K32"/>
  <c r="H32"/>
  <c r="W31"/>
  <c r="U31"/>
  <c r="R31"/>
  <c r="P31"/>
  <c r="N31"/>
  <c r="K31"/>
  <c r="H31"/>
  <c r="D31" s="1"/>
  <c r="W30"/>
  <c r="U30"/>
  <c r="R30"/>
  <c r="P30"/>
  <c r="N30"/>
  <c r="K30"/>
  <c r="H30"/>
  <c r="W29"/>
  <c r="U29"/>
  <c r="R29"/>
  <c r="P29"/>
  <c r="N29"/>
  <c r="K29"/>
  <c r="H29"/>
  <c r="D29" s="1"/>
  <c r="W28"/>
  <c r="U28"/>
  <c r="R28"/>
  <c r="P28"/>
  <c r="N28"/>
  <c r="K28"/>
  <c r="H28"/>
  <c r="D28"/>
  <c r="W27"/>
  <c r="U27"/>
  <c r="R27"/>
  <c r="P27"/>
  <c r="N27"/>
  <c r="K27"/>
  <c r="H27"/>
  <c r="W26"/>
  <c r="U26"/>
  <c r="R26"/>
  <c r="P26"/>
  <c r="N26"/>
  <c r="K26"/>
  <c r="D26"/>
  <c r="W25"/>
  <c r="U25"/>
  <c r="R25"/>
  <c r="P25"/>
  <c r="N25"/>
  <c r="K25"/>
  <c r="H25"/>
  <c r="W24"/>
  <c r="U24"/>
  <c r="R24"/>
  <c r="P24"/>
  <c r="N24"/>
  <c r="K24"/>
  <c r="H24"/>
  <c r="D24" s="1"/>
  <c r="W23"/>
  <c r="U23"/>
  <c r="R23"/>
  <c r="P23"/>
  <c r="N23"/>
  <c r="M23"/>
  <c r="L23"/>
  <c r="J23"/>
  <c r="I23"/>
  <c r="W22"/>
  <c r="U22"/>
  <c r="R22"/>
  <c r="P22"/>
  <c r="N22"/>
  <c r="K22"/>
  <c r="D22"/>
  <c r="W21"/>
  <c r="U21"/>
  <c r="R21"/>
  <c r="P21"/>
  <c r="N21"/>
  <c r="W20"/>
  <c r="U20"/>
  <c r="R20"/>
  <c r="P20"/>
  <c r="N20"/>
  <c r="E20"/>
  <c r="W19"/>
  <c r="U19"/>
  <c r="R19"/>
  <c r="P19"/>
  <c r="P15" s="1"/>
  <c r="N19"/>
  <c r="E19"/>
  <c r="W18"/>
  <c r="W16" s="1"/>
  <c r="U18"/>
  <c r="R18"/>
  <c r="P18"/>
  <c r="N18"/>
  <c r="E18"/>
  <c r="W17"/>
  <c r="U17"/>
  <c r="R17"/>
  <c r="R15" s="1"/>
  <c r="P17"/>
  <c r="N17"/>
  <c r="N15" s="1"/>
  <c r="E17"/>
  <c r="X16"/>
  <c r="V16"/>
  <c r="U16"/>
  <c r="T16"/>
  <c r="S16"/>
  <c r="R16"/>
  <c r="Q16"/>
  <c r="P16"/>
  <c r="O16"/>
  <c r="N16"/>
  <c r="G16"/>
  <c r="F16"/>
  <c r="E16"/>
  <c r="X15"/>
  <c r="W15"/>
  <c r="V15"/>
  <c r="U15"/>
  <c r="T15"/>
  <c r="S15"/>
  <c r="Q15"/>
  <c r="O15"/>
  <c r="G15"/>
  <c r="F15"/>
  <c r="E15"/>
  <c r="G13"/>
  <c r="F13"/>
  <c r="E13"/>
  <c r="U98" l="1"/>
  <c r="P98"/>
  <c r="E140"/>
  <c r="H23"/>
  <c r="K23"/>
  <c r="D25"/>
  <c r="D27"/>
  <c r="D30"/>
  <c r="D32"/>
  <c r="N72"/>
  <c r="R72"/>
  <c r="R98" s="1"/>
  <c r="O98"/>
  <c r="Q98"/>
  <c r="S98"/>
  <c r="N98"/>
  <c r="W98"/>
  <c r="D104"/>
  <c r="D108"/>
  <c r="K139"/>
  <c r="D110"/>
  <c r="D114"/>
  <c r="D118"/>
  <c r="D122"/>
  <c r="D126"/>
  <c r="H128"/>
  <c r="D130"/>
  <c r="D128" s="1"/>
  <c r="D134"/>
  <c r="D138"/>
  <c r="E98"/>
  <c r="G98"/>
  <c r="F98"/>
  <c r="W155" i="40"/>
  <c r="U155"/>
  <c r="R155"/>
  <c r="P155"/>
  <c r="N155"/>
  <c r="K155"/>
  <c r="E155"/>
  <c r="D155" s="1"/>
  <c r="W154"/>
  <c r="U154"/>
  <c r="R154"/>
  <c r="P154"/>
  <c r="N154"/>
  <c r="K154"/>
  <c r="E154"/>
  <c r="D154" s="1"/>
  <c r="W153"/>
  <c r="U153"/>
  <c r="R153"/>
  <c r="P153"/>
  <c r="N153"/>
  <c r="K153"/>
  <c r="E153"/>
  <c r="D153" s="1"/>
  <c r="W152"/>
  <c r="U152"/>
  <c r="R152"/>
  <c r="P152"/>
  <c r="N152"/>
  <c r="K152"/>
  <c r="E152"/>
  <c r="D152" s="1"/>
  <c r="W151"/>
  <c r="U151"/>
  <c r="R151"/>
  <c r="P151"/>
  <c r="N151"/>
  <c r="K151"/>
  <c r="E151"/>
  <c r="D151" s="1"/>
  <c r="W150"/>
  <c r="U150"/>
  <c r="R150"/>
  <c r="P150"/>
  <c r="N150"/>
  <c r="K150"/>
  <c r="E150"/>
  <c r="D150" s="1"/>
  <c r="W149"/>
  <c r="U149"/>
  <c r="R149"/>
  <c r="P149"/>
  <c r="N149"/>
  <c r="K149"/>
  <c r="H149"/>
  <c r="E149"/>
  <c r="W148"/>
  <c r="U148"/>
  <c r="R148"/>
  <c r="P148"/>
  <c r="N148"/>
  <c r="K148"/>
  <c r="H148"/>
  <c r="E148"/>
  <c r="W147"/>
  <c r="U147"/>
  <c r="R147"/>
  <c r="P147"/>
  <c r="N147"/>
  <c r="K147"/>
  <c r="E147"/>
  <c r="W146"/>
  <c r="U146"/>
  <c r="R146"/>
  <c r="P146"/>
  <c r="P138" s="1"/>
  <c r="N146"/>
  <c r="K146"/>
  <c r="E146"/>
  <c r="W145"/>
  <c r="U145"/>
  <c r="R145"/>
  <c r="R139" s="1"/>
  <c r="P145"/>
  <c r="N145"/>
  <c r="N139" s="1"/>
  <c r="E145"/>
  <c r="W144"/>
  <c r="U144"/>
  <c r="R144"/>
  <c r="P144"/>
  <c r="N144"/>
  <c r="K144"/>
  <c r="E144"/>
  <c r="D144" s="1"/>
  <c r="W143"/>
  <c r="U143"/>
  <c r="R143"/>
  <c r="P143"/>
  <c r="N143"/>
  <c r="K143"/>
  <c r="E143"/>
  <c r="W142"/>
  <c r="U142"/>
  <c r="R142"/>
  <c r="P142"/>
  <c r="N142"/>
  <c r="K142"/>
  <c r="E142"/>
  <c r="D142" s="1"/>
  <c r="W141"/>
  <c r="U141"/>
  <c r="R141"/>
  <c r="P141"/>
  <c r="P139" s="1"/>
  <c r="N141"/>
  <c r="K141"/>
  <c r="E141"/>
  <c r="W140"/>
  <c r="U140"/>
  <c r="R140"/>
  <c r="R138" s="1"/>
  <c r="P140"/>
  <c r="N140"/>
  <c r="N138" s="1"/>
  <c r="K140"/>
  <c r="E140"/>
  <c r="D140" s="1"/>
  <c r="X139"/>
  <c r="W139"/>
  <c r="V139"/>
  <c r="U139"/>
  <c r="T139"/>
  <c r="S139"/>
  <c r="Q139"/>
  <c r="O139"/>
  <c r="J139"/>
  <c r="H139"/>
  <c r="D139" s="1"/>
  <c r="G139"/>
  <c r="F139"/>
  <c r="E139"/>
  <c r="X138"/>
  <c r="W138"/>
  <c r="V138"/>
  <c r="U138"/>
  <c r="T138"/>
  <c r="S138"/>
  <c r="Q138"/>
  <c r="O138"/>
  <c r="J138"/>
  <c r="H138"/>
  <c r="G138"/>
  <c r="F138"/>
  <c r="E138"/>
  <c r="D138"/>
  <c r="W137"/>
  <c r="U137"/>
  <c r="R137"/>
  <c r="P137"/>
  <c r="N137"/>
  <c r="K137"/>
  <c r="H137"/>
  <c r="E137"/>
  <c r="D137"/>
  <c r="W136"/>
  <c r="U136"/>
  <c r="R136"/>
  <c r="P136"/>
  <c r="N136"/>
  <c r="K136"/>
  <c r="H136"/>
  <c r="E136"/>
  <c r="D136" s="1"/>
  <c r="W135"/>
  <c r="U135"/>
  <c r="R135"/>
  <c r="P135"/>
  <c r="N135"/>
  <c r="K135"/>
  <c r="H135"/>
  <c r="E135"/>
  <c r="D135" s="1"/>
  <c r="W134"/>
  <c r="U134"/>
  <c r="R134"/>
  <c r="P134"/>
  <c r="N134"/>
  <c r="K134"/>
  <c r="H134"/>
  <c r="E134"/>
  <c r="W133"/>
  <c r="U133"/>
  <c r="R133"/>
  <c r="P133"/>
  <c r="N133"/>
  <c r="K133"/>
  <c r="H133"/>
  <c r="E133"/>
  <c r="D133"/>
  <c r="W132"/>
  <c r="U132"/>
  <c r="R132"/>
  <c r="P132"/>
  <c r="N132"/>
  <c r="K132"/>
  <c r="H132"/>
  <c r="E132"/>
  <c r="D132" s="1"/>
  <c r="W131"/>
  <c r="U131"/>
  <c r="R131"/>
  <c r="P131"/>
  <c r="N131"/>
  <c r="K131"/>
  <c r="H131"/>
  <c r="E131"/>
  <c r="D131" s="1"/>
  <c r="D127" s="1"/>
  <c r="W130"/>
  <c r="U130"/>
  <c r="R130"/>
  <c r="P130"/>
  <c r="N130"/>
  <c r="K130"/>
  <c r="H130"/>
  <c r="E130"/>
  <c r="W129"/>
  <c r="U129"/>
  <c r="R129"/>
  <c r="P129"/>
  <c r="N129"/>
  <c r="K129"/>
  <c r="H129"/>
  <c r="E129"/>
  <c r="D129"/>
  <c r="W128"/>
  <c r="U128"/>
  <c r="R128"/>
  <c r="P128"/>
  <c r="N128"/>
  <c r="K128"/>
  <c r="H128"/>
  <c r="E128"/>
  <c r="D128" s="1"/>
  <c r="X127"/>
  <c r="W127" s="1"/>
  <c r="V127"/>
  <c r="U127" s="1"/>
  <c r="T127"/>
  <c r="S127"/>
  <c r="R127" s="1"/>
  <c r="Q127"/>
  <c r="P127" s="1"/>
  <c r="O127"/>
  <c r="N127" s="1"/>
  <c r="M127"/>
  <c r="L127"/>
  <c r="J127"/>
  <c r="I127"/>
  <c r="H127"/>
  <c r="G127"/>
  <c r="F127"/>
  <c r="W126"/>
  <c r="U126"/>
  <c r="R126"/>
  <c r="P126"/>
  <c r="N126"/>
  <c r="K126"/>
  <c r="H126"/>
  <c r="E126"/>
  <c r="D126" s="1"/>
  <c r="W125"/>
  <c r="U125"/>
  <c r="R125"/>
  <c r="P125"/>
  <c r="N125"/>
  <c r="K125"/>
  <c r="H125"/>
  <c r="E125"/>
  <c r="D125" s="1"/>
  <c r="W124"/>
  <c r="U124"/>
  <c r="R124"/>
  <c r="P124"/>
  <c r="N124"/>
  <c r="K124"/>
  <c r="H124"/>
  <c r="E124"/>
  <c r="W123"/>
  <c r="U123"/>
  <c r="R123"/>
  <c r="P123"/>
  <c r="N123"/>
  <c r="K123"/>
  <c r="H123"/>
  <c r="E123"/>
  <c r="D123"/>
  <c r="W122"/>
  <c r="U122"/>
  <c r="R122"/>
  <c r="P122"/>
  <c r="N122"/>
  <c r="K122"/>
  <c r="H122"/>
  <c r="E122"/>
  <c r="D122" s="1"/>
  <c r="W121"/>
  <c r="U121"/>
  <c r="R121"/>
  <c r="P121"/>
  <c r="N121"/>
  <c r="K121"/>
  <c r="H121"/>
  <c r="E121"/>
  <c r="D121" s="1"/>
  <c r="W120"/>
  <c r="U120"/>
  <c r="R120"/>
  <c r="P120"/>
  <c r="N120"/>
  <c r="K120"/>
  <c r="H120"/>
  <c r="E120"/>
  <c r="W119"/>
  <c r="U119"/>
  <c r="R119"/>
  <c r="P119"/>
  <c r="N119"/>
  <c r="K119"/>
  <c r="H119"/>
  <c r="E119"/>
  <c r="D119"/>
  <c r="W118"/>
  <c r="U118"/>
  <c r="R118"/>
  <c r="P118"/>
  <c r="N118"/>
  <c r="K118"/>
  <c r="H118"/>
  <c r="E118"/>
  <c r="D118" s="1"/>
  <c r="W117"/>
  <c r="U117"/>
  <c r="R117"/>
  <c r="P117"/>
  <c r="N117"/>
  <c r="K117"/>
  <c r="H117"/>
  <c r="E117"/>
  <c r="D117" s="1"/>
  <c r="W116"/>
  <c r="U116"/>
  <c r="R116"/>
  <c r="P116"/>
  <c r="N116"/>
  <c r="K116"/>
  <c r="H116"/>
  <c r="E116"/>
  <c r="W115"/>
  <c r="U115"/>
  <c r="R115"/>
  <c r="P115"/>
  <c r="N115"/>
  <c r="K115"/>
  <c r="H115"/>
  <c r="E115"/>
  <c r="D115"/>
  <c r="W114"/>
  <c r="U114"/>
  <c r="R114"/>
  <c r="P114"/>
  <c r="N114"/>
  <c r="K114"/>
  <c r="H114"/>
  <c r="E114"/>
  <c r="D114" s="1"/>
  <c r="W113"/>
  <c r="U113"/>
  <c r="R113"/>
  <c r="P113"/>
  <c r="N113"/>
  <c r="K113"/>
  <c r="H113"/>
  <c r="E113"/>
  <c r="D113" s="1"/>
  <c r="W112"/>
  <c r="U112"/>
  <c r="R112"/>
  <c r="P112"/>
  <c r="N112"/>
  <c r="K112"/>
  <c r="H112"/>
  <c r="E112"/>
  <c r="W111"/>
  <c r="U111"/>
  <c r="R111"/>
  <c r="P111"/>
  <c r="N111"/>
  <c r="K111"/>
  <c r="H111"/>
  <c r="E111"/>
  <c r="D111"/>
  <c r="W110"/>
  <c r="U110"/>
  <c r="R110"/>
  <c r="P110"/>
  <c r="N110"/>
  <c r="K110"/>
  <c r="H110"/>
  <c r="E110"/>
  <c r="D110" s="1"/>
  <c r="W109"/>
  <c r="U109"/>
  <c r="R109"/>
  <c r="P109"/>
  <c r="N109"/>
  <c r="K109"/>
  <c r="H109"/>
  <c r="E109"/>
  <c r="D109" s="1"/>
  <c r="W108"/>
  <c r="U108"/>
  <c r="R108"/>
  <c r="P108"/>
  <c r="N108"/>
  <c r="K108"/>
  <c r="H108"/>
  <c r="E108"/>
  <c r="W107"/>
  <c r="U107"/>
  <c r="R107"/>
  <c r="P107"/>
  <c r="N107"/>
  <c r="K107"/>
  <c r="H107"/>
  <c r="E107"/>
  <c r="D107"/>
  <c r="W106"/>
  <c r="U106"/>
  <c r="R106"/>
  <c r="P106"/>
  <c r="N106"/>
  <c r="K106"/>
  <c r="H106"/>
  <c r="E106"/>
  <c r="D106" s="1"/>
  <c r="W105"/>
  <c r="U105"/>
  <c r="R105"/>
  <c r="P105"/>
  <c r="N105"/>
  <c r="K105"/>
  <c r="H105"/>
  <c r="E105"/>
  <c r="D105" s="1"/>
  <c r="W104"/>
  <c r="U104"/>
  <c r="R104"/>
  <c r="P104"/>
  <c r="N104"/>
  <c r="K104"/>
  <c r="H104"/>
  <c r="E104"/>
  <c r="W103"/>
  <c r="U103"/>
  <c r="R103"/>
  <c r="P103"/>
  <c r="N103"/>
  <c r="K103"/>
  <c r="H103"/>
  <c r="E103"/>
  <c r="D103"/>
  <c r="W102"/>
  <c r="U102"/>
  <c r="R102"/>
  <c r="P102"/>
  <c r="N102"/>
  <c r="K102"/>
  <c r="H102"/>
  <c r="E102"/>
  <c r="D102" s="1"/>
  <c r="W101"/>
  <c r="U101"/>
  <c r="R101"/>
  <c r="P101"/>
  <c r="N101"/>
  <c r="K101"/>
  <c r="H101"/>
  <c r="E101"/>
  <c r="D101" s="1"/>
  <c r="W96"/>
  <c r="U96"/>
  <c r="R96"/>
  <c r="P96"/>
  <c r="N96"/>
  <c r="L96"/>
  <c r="K96"/>
  <c r="K93" s="1"/>
  <c r="I96"/>
  <c r="H96"/>
  <c r="I99" s="1"/>
  <c r="E96"/>
  <c r="D96"/>
  <c r="W95"/>
  <c r="U95"/>
  <c r="R95"/>
  <c r="P95"/>
  <c r="P93" s="1"/>
  <c r="N95"/>
  <c r="E95"/>
  <c r="D95"/>
  <c r="W94"/>
  <c r="U94"/>
  <c r="R94"/>
  <c r="R93" s="1"/>
  <c r="P94"/>
  <c r="N94"/>
  <c r="N93" s="1"/>
  <c r="E94"/>
  <c r="D94"/>
  <c r="X93"/>
  <c r="W93"/>
  <c r="V93"/>
  <c r="U93"/>
  <c r="T93"/>
  <c r="S93"/>
  <c r="Q93"/>
  <c r="O93"/>
  <c r="L93"/>
  <c r="J93"/>
  <c r="I93"/>
  <c r="H93"/>
  <c r="G93"/>
  <c r="F93"/>
  <c r="D93"/>
  <c r="W92"/>
  <c r="U92"/>
  <c r="R92"/>
  <c r="P92"/>
  <c r="N92"/>
  <c r="I92"/>
  <c r="H92" s="1"/>
  <c r="D92" s="1"/>
  <c r="E92"/>
  <c r="W91"/>
  <c r="U91"/>
  <c r="R91"/>
  <c r="P91"/>
  <c r="N91"/>
  <c r="I91"/>
  <c r="H91" s="1"/>
  <c r="D91" s="1"/>
  <c r="E91"/>
  <c r="W90"/>
  <c r="U90"/>
  <c r="R90"/>
  <c r="P90"/>
  <c r="N90"/>
  <c r="L90"/>
  <c r="K90"/>
  <c r="I90"/>
  <c r="H90" s="1"/>
  <c r="E90"/>
  <c r="W89"/>
  <c r="U89"/>
  <c r="R89"/>
  <c r="P89"/>
  <c r="N89"/>
  <c r="L89"/>
  <c r="K89"/>
  <c r="I89"/>
  <c r="H89" s="1"/>
  <c r="D89" s="1"/>
  <c r="E89"/>
  <c r="W88"/>
  <c r="W86" s="1"/>
  <c r="U88"/>
  <c r="R88"/>
  <c r="P88"/>
  <c r="N88"/>
  <c r="I88"/>
  <c r="H88"/>
  <c r="E88"/>
  <c r="D88"/>
  <c r="W87"/>
  <c r="U87"/>
  <c r="R87"/>
  <c r="P87"/>
  <c r="N87"/>
  <c r="I87"/>
  <c r="H87"/>
  <c r="E87"/>
  <c r="D87"/>
  <c r="X86"/>
  <c r="V86"/>
  <c r="U86"/>
  <c r="T86"/>
  <c r="S86"/>
  <c r="R86"/>
  <c r="Q86"/>
  <c r="P86"/>
  <c r="O86"/>
  <c r="N86"/>
  <c r="L86"/>
  <c r="K86"/>
  <c r="I86"/>
  <c r="G86"/>
  <c r="F86"/>
  <c r="E86"/>
  <c r="W85"/>
  <c r="U85"/>
  <c r="R85"/>
  <c r="P85"/>
  <c r="N85"/>
  <c r="L85"/>
  <c r="K85" s="1"/>
  <c r="I85"/>
  <c r="H85" s="1"/>
  <c r="E85"/>
  <c r="W84"/>
  <c r="U84"/>
  <c r="R84"/>
  <c r="P84"/>
  <c r="N84"/>
  <c r="L84"/>
  <c r="K84" s="1"/>
  <c r="I84"/>
  <c r="H84" s="1"/>
  <c r="E84"/>
  <c r="W83"/>
  <c r="U83"/>
  <c r="R83"/>
  <c r="P83"/>
  <c r="N83"/>
  <c r="I83"/>
  <c r="H83"/>
  <c r="E83"/>
  <c r="D83"/>
  <c r="W82"/>
  <c r="U82"/>
  <c r="R82"/>
  <c r="P82"/>
  <c r="N82"/>
  <c r="I82"/>
  <c r="H82" s="1"/>
  <c r="E82"/>
  <c r="W81"/>
  <c r="U81"/>
  <c r="R81"/>
  <c r="R73" s="1"/>
  <c r="R71" s="1"/>
  <c r="P81"/>
  <c r="N81"/>
  <c r="N73" s="1"/>
  <c r="N71" s="1"/>
  <c r="L81"/>
  <c r="K81"/>
  <c r="I81"/>
  <c r="H81"/>
  <c r="E81"/>
  <c r="D81"/>
  <c r="W80"/>
  <c r="U80"/>
  <c r="R80"/>
  <c r="P80"/>
  <c r="N80"/>
  <c r="L80"/>
  <c r="K80" s="1"/>
  <c r="I80"/>
  <c r="H80" s="1"/>
  <c r="E80"/>
  <c r="W79"/>
  <c r="U79"/>
  <c r="R79"/>
  <c r="P79"/>
  <c r="N79"/>
  <c r="L79"/>
  <c r="I79"/>
  <c r="H79" s="1"/>
  <c r="E79"/>
  <c r="W78"/>
  <c r="U78"/>
  <c r="R78"/>
  <c r="P78"/>
  <c r="N78"/>
  <c r="L78"/>
  <c r="I78"/>
  <c r="H78" s="1"/>
  <c r="E78"/>
  <c r="W77"/>
  <c r="U77"/>
  <c r="R77"/>
  <c r="P77"/>
  <c r="N77"/>
  <c r="L77"/>
  <c r="I77"/>
  <c r="H77" s="1"/>
  <c r="E77"/>
  <c r="W76"/>
  <c r="U76"/>
  <c r="U72" s="1"/>
  <c r="R76"/>
  <c r="P76"/>
  <c r="N76"/>
  <c r="L76"/>
  <c r="I76"/>
  <c r="H76" s="1"/>
  <c r="E76"/>
  <c r="W75"/>
  <c r="U75"/>
  <c r="R75"/>
  <c r="P75"/>
  <c r="P73" s="1"/>
  <c r="P71" s="1"/>
  <c r="N75"/>
  <c r="L75"/>
  <c r="K75" s="1"/>
  <c r="I75"/>
  <c r="H75" s="1"/>
  <c r="E75"/>
  <c r="W74"/>
  <c r="W72" s="1"/>
  <c r="U74"/>
  <c r="R74"/>
  <c r="P74"/>
  <c r="N74"/>
  <c r="L74"/>
  <c r="K74" s="1"/>
  <c r="I74"/>
  <c r="H74" s="1"/>
  <c r="E74"/>
  <c r="X73"/>
  <c r="V73"/>
  <c r="U73"/>
  <c r="T73"/>
  <c r="S73"/>
  <c r="Q73"/>
  <c r="O73"/>
  <c r="L73"/>
  <c r="K73" s="1"/>
  <c r="I73"/>
  <c r="H73" s="1"/>
  <c r="H71" s="1"/>
  <c r="G73"/>
  <c r="G71" s="1"/>
  <c r="F73"/>
  <c r="X72"/>
  <c r="V72"/>
  <c r="T72"/>
  <c r="S72"/>
  <c r="R72"/>
  <c r="Q72"/>
  <c r="P72"/>
  <c r="O72"/>
  <c r="N72"/>
  <c r="I72"/>
  <c r="H72" s="1"/>
  <c r="G72"/>
  <c r="F72"/>
  <c r="E72" s="1"/>
  <c r="X71"/>
  <c r="V71"/>
  <c r="U71"/>
  <c r="T71"/>
  <c r="S71"/>
  <c r="Q71"/>
  <c r="O71"/>
  <c r="L71"/>
  <c r="J71"/>
  <c r="F71"/>
  <c r="E71" s="1"/>
  <c r="W70"/>
  <c r="U70"/>
  <c r="R70"/>
  <c r="P70"/>
  <c r="N70"/>
  <c r="E70"/>
  <c r="D70"/>
  <c r="W69"/>
  <c r="U69"/>
  <c r="R69"/>
  <c r="P69"/>
  <c r="N69"/>
  <c r="E69"/>
  <c r="D69"/>
  <c r="W68"/>
  <c r="U68"/>
  <c r="R68"/>
  <c r="P68"/>
  <c r="N68"/>
  <c r="E68"/>
  <c r="D68"/>
  <c r="W67"/>
  <c r="U67"/>
  <c r="R67"/>
  <c r="P67"/>
  <c r="N67"/>
  <c r="E67"/>
  <c r="D67"/>
  <c r="W66"/>
  <c r="U66"/>
  <c r="R66"/>
  <c r="P66"/>
  <c r="N66"/>
  <c r="E66"/>
  <c r="D66"/>
  <c r="W65"/>
  <c r="U65"/>
  <c r="R65"/>
  <c r="P65"/>
  <c r="N65"/>
  <c r="E65"/>
  <c r="D65"/>
  <c r="W64"/>
  <c r="U64"/>
  <c r="R64"/>
  <c r="P64"/>
  <c r="N64"/>
  <c r="I64"/>
  <c r="H64"/>
  <c r="E64"/>
  <c r="D64"/>
  <c r="W63"/>
  <c r="U63"/>
  <c r="R63"/>
  <c r="P63"/>
  <c r="N63"/>
  <c r="I63"/>
  <c r="H63" s="1"/>
  <c r="D63" s="1"/>
  <c r="E63"/>
  <c r="W62"/>
  <c r="U62"/>
  <c r="R62"/>
  <c r="P62"/>
  <c r="N62"/>
  <c r="E62"/>
  <c r="D62"/>
  <c r="W61"/>
  <c r="U61"/>
  <c r="R61"/>
  <c r="P61"/>
  <c r="N61"/>
  <c r="E61"/>
  <c r="D61"/>
  <c r="W60"/>
  <c r="U60"/>
  <c r="R60"/>
  <c r="P60"/>
  <c r="N60"/>
  <c r="E60"/>
  <c r="D60"/>
  <c r="W59"/>
  <c r="U59"/>
  <c r="R59"/>
  <c r="P59"/>
  <c r="N59"/>
  <c r="E59"/>
  <c r="D59"/>
  <c r="W58"/>
  <c r="U58"/>
  <c r="R58"/>
  <c r="P58"/>
  <c r="N58"/>
  <c r="E58"/>
  <c r="D58"/>
  <c r="W57"/>
  <c r="U57"/>
  <c r="R57"/>
  <c r="P57"/>
  <c r="N57"/>
  <c r="E57"/>
  <c r="D57"/>
  <c r="W56"/>
  <c r="U56"/>
  <c r="R56"/>
  <c r="P56"/>
  <c r="N56"/>
  <c r="E56"/>
  <c r="D56"/>
  <c r="W55"/>
  <c r="U55"/>
  <c r="R55"/>
  <c r="P55"/>
  <c r="N55"/>
  <c r="E55"/>
  <c r="D55"/>
  <c r="W54"/>
  <c r="U54"/>
  <c r="R54"/>
  <c r="P54"/>
  <c r="N54"/>
  <c r="I54"/>
  <c r="H54"/>
  <c r="E54"/>
  <c r="D54"/>
  <c r="W53"/>
  <c r="U53"/>
  <c r="R53"/>
  <c r="P53"/>
  <c r="N53"/>
  <c r="I53"/>
  <c r="H53" s="1"/>
  <c r="D53" s="1"/>
  <c r="E53"/>
  <c r="W52"/>
  <c r="U52"/>
  <c r="R52"/>
  <c r="P52"/>
  <c r="N52"/>
  <c r="I52"/>
  <c r="H52"/>
  <c r="E52"/>
  <c r="D52"/>
  <c r="W51"/>
  <c r="U51"/>
  <c r="R51"/>
  <c r="P51"/>
  <c r="N51"/>
  <c r="I51"/>
  <c r="H51" s="1"/>
  <c r="D51" s="1"/>
  <c r="E51"/>
  <c r="W50"/>
  <c r="U50"/>
  <c r="R50"/>
  <c r="P50"/>
  <c r="N50"/>
  <c r="I50"/>
  <c r="D99" s="1"/>
  <c r="H50"/>
  <c r="E50"/>
  <c r="D50"/>
  <c r="W49"/>
  <c r="U49"/>
  <c r="R49"/>
  <c r="P49"/>
  <c r="N49"/>
  <c r="I49"/>
  <c r="H49" s="1"/>
  <c r="E49"/>
  <c r="D49"/>
  <c r="W48"/>
  <c r="U48"/>
  <c r="R48"/>
  <c r="P48"/>
  <c r="N48"/>
  <c r="I48"/>
  <c r="H48" s="1"/>
  <c r="D48" s="1"/>
  <c r="E48"/>
  <c r="W47"/>
  <c r="U47"/>
  <c r="R47"/>
  <c r="P47"/>
  <c r="N47"/>
  <c r="I47"/>
  <c r="H47"/>
  <c r="E47"/>
  <c r="D47"/>
  <c r="W46"/>
  <c r="U46"/>
  <c r="R46"/>
  <c r="P46"/>
  <c r="N46"/>
  <c r="E46"/>
  <c r="D46"/>
  <c r="W45"/>
  <c r="U45"/>
  <c r="R45"/>
  <c r="P45"/>
  <c r="N45"/>
  <c r="E45"/>
  <c r="D45"/>
  <c r="W44"/>
  <c r="U44"/>
  <c r="R44"/>
  <c r="P44"/>
  <c r="N44"/>
  <c r="I44"/>
  <c r="H44" s="1"/>
  <c r="E44"/>
  <c r="W43"/>
  <c r="U43"/>
  <c r="R43"/>
  <c r="P43"/>
  <c r="N43"/>
  <c r="I43"/>
  <c r="H43"/>
  <c r="E43"/>
  <c r="D43"/>
  <c r="U42"/>
  <c r="R42"/>
  <c r="P42"/>
  <c r="N42"/>
  <c r="L42"/>
  <c r="K42"/>
  <c r="I42"/>
  <c r="H42"/>
  <c r="E42"/>
  <c r="D42"/>
  <c r="U41"/>
  <c r="R41"/>
  <c r="P41"/>
  <c r="N41"/>
  <c r="L41"/>
  <c r="K41"/>
  <c r="I41"/>
  <c r="H41"/>
  <c r="E41"/>
  <c r="D41"/>
  <c r="U40"/>
  <c r="R40"/>
  <c r="P40"/>
  <c r="N40"/>
  <c r="L40"/>
  <c r="K40"/>
  <c r="I40"/>
  <c r="H40"/>
  <c r="E40"/>
  <c r="D40"/>
  <c r="U39"/>
  <c r="R39"/>
  <c r="P39"/>
  <c r="N39"/>
  <c r="L39"/>
  <c r="K39"/>
  <c r="I39"/>
  <c r="H39"/>
  <c r="E39"/>
  <c r="D39"/>
  <c r="W38"/>
  <c r="U38"/>
  <c r="R38"/>
  <c r="P38"/>
  <c r="N38"/>
  <c r="K38"/>
  <c r="E38"/>
  <c r="D38"/>
  <c r="W37"/>
  <c r="U37"/>
  <c r="R37"/>
  <c r="P37"/>
  <c r="N37"/>
  <c r="K37"/>
  <c r="E37"/>
  <c r="W36"/>
  <c r="U36"/>
  <c r="R36"/>
  <c r="P36"/>
  <c r="N36"/>
  <c r="E36"/>
  <c r="W35"/>
  <c r="U35"/>
  <c r="R35"/>
  <c r="P35"/>
  <c r="N35"/>
  <c r="H35"/>
  <c r="E35"/>
  <c r="D35"/>
  <c r="W34"/>
  <c r="U34"/>
  <c r="R34"/>
  <c r="P34"/>
  <c r="N34"/>
  <c r="H34"/>
  <c r="E34"/>
  <c r="D34"/>
  <c r="W33"/>
  <c r="U33"/>
  <c r="R33"/>
  <c r="P33"/>
  <c r="L33"/>
  <c r="K33" s="1"/>
  <c r="I33"/>
  <c r="H33" s="1"/>
  <c r="E33"/>
  <c r="W32"/>
  <c r="U32"/>
  <c r="R32"/>
  <c r="P32"/>
  <c r="L32"/>
  <c r="K32" s="1"/>
  <c r="I32"/>
  <c r="H32" s="1"/>
  <c r="E32"/>
  <c r="W31"/>
  <c r="U31"/>
  <c r="R31"/>
  <c r="P31"/>
  <c r="N31"/>
  <c r="H31"/>
  <c r="E31"/>
  <c r="D31"/>
  <c r="W30"/>
  <c r="U30"/>
  <c r="R30"/>
  <c r="P30"/>
  <c r="N30"/>
  <c r="E30"/>
  <c r="D30"/>
  <c r="W29"/>
  <c r="U29"/>
  <c r="R29"/>
  <c r="P29"/>
  <c r="N29"/>
  <c r="E29"/>
  <c r="D29"/>
  <c r="W28"/>
  <c r="U28"/>
  <c r="R28"/>
  <c r="P28"/>
  <c r="N28"/>
  <c r="E28"/>
  <c r="D28"/>
  <c r="W27"/>
  <c r="U27"/>
  <c r="R27"/>
  <c r="P27"/>
  <c r="N27"/>
  <c r="E27"/>
  <c r="D27"/>
  <c r="W26"/>
  <c r="U26"/>
  <c r="R26"/>
  <c r="P26"/>
  <c r="N26"/>
  <c r="H26"/>
  <c r="E26"/>
  <c r="D26"/>
  <c r="W25"/>
  <c r="U25"/>
  <c r="R25"/>
  <c r="P25"/>
  <c r="N25"/>
  <c r="E25"/>
  <c r="D25"/>
  <c r="W24"/>
  <c r="U24"/>
  <c r="R24"/>
  <c r="P24"/>
  <c r="N24"/>
  <c r="H24"/>
  <c r="E24"/>
  <c r="D24"/>
  <c r="W23"/>
  <c r="U23"/>
  <c r="R23"/>
  <c r="P23"/>
  <c r="N23"/>
  <c r="H23"/>
  <c r="E23"/>
  <c r="D23"/>
  <c r="W22"/>
  <c r="U22"/>
  <c r="R22"/>
  <c r="P22"/>
  <c r="N22"/>
  <c r="H22"/>
  <c r="E22"/>
  <c r="D22"/>
  <c r="W21"/>
  <c r="U21"/>
  <c r="R21"/>
  <c r="P21"/>
  <c r="N21"/>
  <c r="H21"/>
  <c r="E21"/>
  <c r="D21"/>
  <c r="W20"/>
  <c r="U20"/>
  <c r="R20"/>
  <c r="P20"/>
  <c r="N20"/>
  <c r="E20"/>
  <c r="D20"/>
  <c r="W19"/>
  <c r="U19"/>
  <c r="R19"/>
  <c r="R15" s="1"/>
  <c r="P19"/>
  <c r="N19"/>
  <c r="N15" s="1"/>
  <c r="K19"/>
  <c r="H19"/>
  <c r="E19"/>
  <c r="D19"/>
  <c r="W18"/>
  <c r="U18"/>
  <c r="R18"/>
  <c r="P18"/>
  <c r="N18"/>
  <c r="K18"/>
  <c r="D18" s="1"/>
  <c r="H18"/>
  <c r="E18"/>
  <c r="W17"/>
  <c r="U17"/>
  <c r="R17"/>
  <c r="P17"/>
  <c r="P15" s="1"/>
  <c r="N17"/>
  <c r="H17"/>
  <c r="E17"/>
  <c r="D17"/>
  <c r="W16"/>
  <c r="U16"/>
  <c r="R16"/>
  <c r="P16"/>
  <c r="P14" s="1"/>
  <c r="N16"/>
  <c r="H16"/>
  <c r="E16"/>
  <c r="D16"/>
  <c r="X15"/>
  <c r="W15"/>
  <c r="V15"/>
  <c r="U15"/>
  <c r="T15"/>
  <c r="S15"/>
  <c r="Q15"/>
  <c r="O15"/>
  <c r="K15"/>
  <c r="I15"/>
  <c r="H15" s="1"/>
  <c r="G15"/>
  <c r="F15"/>
  <c r="E15"/>
  <c r="X14"/>
  <c r="W14"/>
  <c r="V14"/>
  <c r="U14"/>
  <c r="T14"/>
  <c r="S14"/>
  <c r="R14"/>
  <c r="Q14"/>
  <c r="O14"/>
  <c r="N14"/>
  <c r="K14"/>
  <c r="I14"/>
  <c r="H14" s="1"/>
  <c r="G14"/>
  <c r="F14"/>
  <c r="E14"/>
  <c r="K13"/>
  <c r="H13"/>
  <c r="E13"/>
  <c r="M12"/>
  <c r="J12"/>
  <c r="G12"/>
  <c r="F12"/>
  <c r="E12"/>
  <c r="D23" i="41" l="1"/>
  <c r="K71" i="40"/>
  <c r="D14"/>
  <c r="K12"/>
  <c r="O97"/>
  <c r="S97"/>
  <c r="P97"/>
  <c r="I12"/>
  <c r="H12" s="1"/>
  <c r="L12"/>
  <c r="L97" s="1"/>
  <c r="K97" s="1"/>
  <c r="M99" s="1"/>
  <c r="D13"/>
  <c r="D15"/>
  <c r="I71"/>
  <c r="L72"/>
  <c r="K72" s="1"/>
  <c r="D72" s="1"/>
  <c r="E73"/>
  <c r="D75"/>
  <c r="W73"/>
  <c r="W71" s="1"/>
  <c r="D85"/>
  <c r="Q97"/>
  <c r="T97"/>
  <c r="V97"/>
  <c r="X97"/>
  <c r="U97"/>
  <c r="D104"/>
  <c r="D108"/>
  <c r="D112"/>
  <c r="D116"/>
  <c r="D120"/>
  <c r="D124"/>
  <c r="E127"/>
  <c r="K127"/>
  <c r="D130"/>
  <c r="D134"/>
  <c r="D141"/>
  <c r="D143"/>
  <c r="D145"/>
  <c r="D148"/>
  <c r="D149"/>
  <c r="D33"/>
  <c r="F97"/>
  <c r="J97"/>
  <c r="N97"/>
  <c r="R97"/>
  <c r="W97"/>
  <c r="D32"/>
  <c r="D44"/>
  <c r="D90"/>
  <c r="D86" s="1"/>
  <c r="H86"/>
  <c r="G97"/>
  <c r="I97"/>
  <c r="H97" s="1"/>
  <c r="D74"/>
  <c r="D76"/>
  <c r="D77"/>
  <c r="D78"/>
  <c r="D79"/>
  <c r="D80"/>
  <c r="D82"/>
  <c r="D84"/>
  <c r="E93"/>
  <c r="H17" i="37"/>
  <c r="H18"/>
  <c r="H19"/>
  <c r="H20"/>
  <c r="H21"/>
  <c r="H28"/>
  <c r="H29"/>
  <c r="H30"/>
  <c r="H31"/>
  <c r="H35"/>
  <c r="H36"/>
  <c r="H37"/>
  <c r="H38"/>
  <c r="H39"/>
  <c r="H40"/>
  <c r="H41"/>
  <c r="H42"/>
  <c r="H43"/>
  <c r="H46"/>
  <c r="H47"/>
  <c r="H56"/>
  <c r="H57"/>
  <c r="H58"/>
  <c r="H59"/>
  <c r="H60"/>
  <c r="H61"/>
  <c r="H62"/>
  <c r="H63"/>
  <c r="H66"/>
  <c r="H67"/>
  <c r="H68"/>
  <c r="H69"/>
  <c r="H70"/>
  <c r="H71"/>
  <c r="H88"/>
  <c r="H89"/>
  <c r="H95"/>
  <c r="H96"/>
  <c r="H14"/>
  <c r="E16" i="3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4"/>
  <c r="E75"/>
  <c r="E76"/>
  <c r="E77"/>
  <c r="E78"/>
  <c r="E79"/>
  <c r="E80"/>
  <c r="E81"/>
  <c r="E82"/>
  <c r="E83"/>
  <c r="E84"/>
  <c r="E85"/>
  <c r="E87"/>
  <c r="E88"/>
  <c r="E89"/>
  <c r="E90"/>
  <c r="E91"/>
  <c r="E92"/>
  <c r="E94"/>
  <c r="E95"/>
  <c r="E96"/>
  <c r="E13"/>
  <c r="E74" i="38"/>
  <c r="E75"/>
  <c r="E76"/>
  <c r="E77"/>
  <c r="E78"/>
  <c r="E79"/>
  <c r="E80"/>
  <c r="E81"/>
  <c r="E82"/>
  <c r="E83"/>
  <c r="E84"/>
  <c r="E85"/>
  <c r="E87"/>
  <c r="E88"/>
  <c r="E89"/>
  <c r="E90"/>
  <c r="E91"/>
  <c r="E92"/>
  <c r="E94"/>
  <c r="E95"/>
  <c r="E96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13"/>
  <c r="D12" i="40" l="1"/>
  <c r="D73"/>
  <c r="D71" s="1"/>
  <c r="D97" s="1"/>
  <c r="E98" s="1"/>
  <c r="J99" s="1"/>
  <c r="E97"/>
  <c r="I96" i="38"/>
  <c r="L96"/>
  <c r="K37"/>
  <c r="K38"/>
  <c r="K96" l="1"/>
  <c r="K40"/>
  <c r="K39"/>
  <c r="L39"/>
  <c r="H96" l="1"/>
  <c r="I34"/>
  <c r="I35"/>
  <c r="K13" l="1"/>
  <c r="K85" i="35" l="1"/>
  <c r="K84"/>
  <c r="K81"/>
  <c r="K80"/>
  <c r="K79"/>
  <c r="K78"/>
  <c r="K77"/>
  <c r="K76"/>
  <c r="K75"/>
  <c r="K74"/>
  <c r="K73"/>
  <c r="K71" s="1"/>
  <c r="K72"/>
  <c r="H83"/>
  <c r="H82"/>
  <c r="H81"/>
  <c r="H80"/>
  <c r="H72" s="1"/>
  <c r="H78"/>
  <c r="H77"/>
  <c r="H76"/>
  <c r="H75"/>
  <c r="H74"/>
  <c r="H73"/>
  <c r="H71" s="1"/>
  <c r="D139" i="38"/>
  <c r="D138"/>
  <c r="H42" l="1"/>
  <c r="H41"/>
  <c r="K15"/>
  <c r="K14"/>
  <c r="L15"/>
  <c r="L14"/>
  <c r="K19" l="1"/>
  <c r="K18"/>
  <c r="I93"/>
  <c r="H93" s="1"/>
  <c r="K93"/>
  <c r="L93"/>
  <c r="L90" l="1"/>
  <c r="L86" s="1"/>
  <c r="K90"/>
  <c r="K86" s="1"/>
  <c r="K89"/>
  <c r="H92"/>
  <c r="H91"/>
  <c r="H90"/>
  <c r="H89"/>
  <c r="H88"/>
  <c r="H87"/>
  <c r="I81" l="1"/>
  <c r="I80"/>
  <c r="I89"/>
  <c r="I90"/>
  <c r="I84"/>
  <c r="I85"/>
  <c r="I77"/>
  <c r="I76"/>
  <c r="L40"/>
  <c r="I33"/>
  <c r="I32"/>
  <c r="I79"/>
  <c r="I78"/>
  <c r="I83"/>
  <c r="I82"/>
  <c r="I19"/>
  <c r="I18"/>
  <c r="I88"/>
  <c r="I87"/>
  <c r="L19"/>
  <c r="L18"/>
  <c r="I54"/>
  <c r="I53"/>
  <c r="L33"/>
  <c r="L32"/>
  <c r="I51"/>
  <c r="I52"/>
  <c r="I42"/>
  <c r="I41"/>
  <c r="I92"/>
  <c r="I91"/>
  <c r="L12" l="1"/>
  <c r="K12" s="1"/>
  <c r="H51"/>
  <c r="H54"/>
  <c r="D54" s="1"/>
  <c r="I86"/>
  <c r="I15"/>
  <c r="H15" s="1"/>
  <c r="H83"/>
  <c r="H79"/>
  <c r="H76"/>
  <c r="H85"/>
  <c r="H80"/>
  <c r="H52"/>
  <c r="D52" s="1"/>
  <c r="H53"/>
  <c r="I14"/>
  <c r="H82"/>
  <c r="H78"/>
  <c r="H77"/>
  <c r="H84"/>
  <c r="H81"/>
  <c r="L89"/>
  <c r="I75"/>
  <c r="I74"/>
  <c r="I50"/>
  <c r="I49"/>
  <c r="L81"/>
  <c r="L80"/>
  <c r="D80" s="1"/>
  <c r="L75"/>
  <c r="L74"/>
  <c r="I44"/>
  <c r="I43"/>
  <c r="H43" s="1"/>
  <c r="I40"/>
  <c r="I39"/>
  <c r="H39" s="1"/>
  <c r="K32"/>
  <c r="K33"/>
  <c r="H13"/>
  <c r="D13" s="1"/>
  <c r="H14"/>
  <c r="H16"/>
  <c r="H17"/>
  <c r="H18"/>
  <c r="H19"/>
  <c r="H21"/>
  <c r="H22"/>
  <c r="D22" s="1"/>
  <c r="H23"/>
  <c r="D23" s="1"/>
  <c r="H24"/>
  <c r="H25"/>
  <c r="D25" s="1"/>
  <c r="H26"/>
  <c r="H31"/>
  <c r="D31" s="1"/>
  <c r="H32"/>
  <c r="H33"/>
  <c r="H34"/>
  <c r="H35"/>
  <c r="D35" s="1"/>
  <c r="H40"/>
  <c r="H44"/>
  <c r="F14"/>
  <c r="G14"/>
  <c r="F15"/>
  <c r="G15"/>
  <c r="D17"/>
  <c r="D18"/>
  <c r="D19"/>
  <c r="D21"/>
  <c r="D24"/>
  <c r="D26"/>
  <c r="D32"/>
  <c r="D33"/>
  <c r="D34"/>
  <c r="D39"/>
  <c r="D40"/>
  <c r="D43"/>
  <c r="D44"/>
  <c r="D51"/>
  <c r="D53"/>
  <c r="J71"/>
  <c r="F72"/>
  <c r="G72"/>
  <c r="F73"/>
  <c r="G73"/>
  <c r="D76"/>
  <c r="D77"/>
  <c r="D78"/>
  <c r="D79"/>
  <c r="D81"/>
  <c r="D82"/>
  <c r="D83"/>
  <c r="D84"/>
  <c r="D85"/>
  <c r="D96"/>
  <c r="K80" l="1"/>
  <c r="H49"/>
  <c r="K81"/>
  <c r="H50"/>
  <c r="I73"/>
  <c r="I12"/>
  <c r="H12" s="1"/>
  <c r="D12" s="1"/>
  <c r="G12"/>
  <c r="G71"/>
  <c r="F71"/>
  <c r="E71" s="1"/>
  <c r="E73"/>
  <c r="E72"/>
  <c r="F12"/>
  <c r="E15"/>
  <c r="E14"/>
  <c r="K74"/>
  <c r="L72"/>
  <c r="H74"/>
  <c r="I72"/>
  <c r="K75"/>
  <c r="L73"/>
  <c r="H75"/>
  <c r="D16"/>
  <c r="D14" s="1"/>
  <c r="D75"/>
  <c r="D73" s="1"/>
  <c r="D71" s="1"/>
  <c r="D74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H149"/>
  <c r="E149"/>
  <c r="W148"/>
  <c r="U148"/>
  <c r="R148"/>
  <c r="P148"/>
  <c r="N148"/>
  <c r="K148"/>
  <c r="H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R139" s="1"/>
  <c r="P145"/>
  <c r="N145"/>
  <c r="N139" s="1"/>
  <c r="E145"/>
  <c r="W144"/>
  <c r="U144"/>
  <c r="R144"/>
  <c r="P144"/>
  <c r="N144"/>
  <c r="K144"/>
  <c r="E144"/>
  <c r="W143"/>
  <c r="U143"/>
  <c r="R143"/>
  <c r="P143"/>
  <c r="N143"/>
  <c r="K143"/>
  <c r="E143"/>
  <c r="W142"/>
  <c r="U142"/>
  <c r="R142"/>
  <c r="P142"/>
  <c r="N142"/>
  <c r="K142"/>
  <c r="E142"/>
  <c r="W141"/>
  <c r="U141"/>
  <c r="R141"/>
  <c r="P141"/>
  <c r="P139" s="1"/>
  <c r="N141"/>
  <c r="K141"/>
  <c r="E141"/>
  <c r="W140"/>
  <c r="U140"/>
  <c r="R140"/>
  <c r="P140"/>
  <c r="N140"/>
  <c r="N138" s="1"/>
  <c r="K140"/>
  <c r="E140"/>
  <c r="X139"/>
  <c r="V139"/>
  <c r="T139"/>
  <c r="S139"/>
  <c r="Q139"/>
  <c r="O139"/>
  <c r="J139"/>
  <c r="H139"/>
  <c r="G139"/>
  <c r="F139"/>
  <c r="X138"/>
  <c r="V138"/>
  <c r="T138"/>
  <c r="S138"/>
  <c r="R138"/>
  <c r="Q138"/>
  <c r="O138"/>
  <c r="J138"/>
  <c r="H138"/>
  <c r="G138"/>
  <c r="F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W128"/>
  <c r="U128"/>
  <c r="R128"/>
  <c r="P128"/>
  <c r="N128"/>
  <c r="K128"/>
  <c r="H128"/>
  <c r="E128"/>
  <c r="X127"/>
  <c r="W127" s="1"/>
  <c r="V127"/>
  <c r="U127" s="1"/>
  <c r="T127"/>
  <c r="S127"/>
  <c r="Q127"/>
  <c r="P127" s="1"/>
  <c r="O127"/>
  <c r="N127" s="1"/>
  <c r="M127"/>
  <c r="L127"/>
  <c r="J127"/>
  <c r="I127"/>
  <c r="G127"/>
  <c r="F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101"/>
  <c r="U101"/>
  <c r="R101"/>
  <c r="P101"/>
  <c r="N101"/>
  <c r="K101"/>
  <c r="H101"/>
  <c r="E101"/>
  <c r="D99"/>
  <c r="W96"/>
  <c r="U96"/>
  <c r="R96"/>
  <c r="P96"/>
  <c r="N96"/>
  <c r="I99"/>
  <c r="W95"/>
  <c r="U95"/>
  <c r="R95"/>
  <c r="P95"/>
  <c r="N95"/>
  <c r="D95"/>
  <c r="W94"/>
  <c r="W93" s="1"/>
  <c r="U94"/>
  <c r="U93" s="1"/>
  <c r="R94"/>
  <c r="R93" s="1"/>
  <c r="P94"/>
  <c r="N94"/>
  <c r="N93" s="1"/>
  <c r="D94"/>
  <c r="X93"/>
  <c r="V93"/>
  <c r="T93"/>
  <c r="S93"/>
  <c r="Q93"/>
  <c r="O93"/>
  <c r="J93"/>
  <c r="J97" s="1"/>
  <c r="G93"/>
  <c r="F93"/>
  <c r="D93"/>
  <c r="W92"/>
  <c r="U92"/>
  <c r="R92"/>
  <c r="P92"/>
  <c r="N92"/>
  <c r="D92"/>
  <c r="W91"/>
  <c r="U91"/>
  <c r="R91"/>
  <c r="P91"/>
  <c r="N91"/>
  <c r="D91"/>
  <c r="W90"/>
  <c r="U90"/>
  <c r="R90"/>
  <c r="P90"/>
  <c r="N90"/>
  <c r="D90"/>
  <c r="W89"/>
  <c r="U89"/>
  <c r="R89"/>
  <c r="P89"/>
  <c r="N89"/>
  <c r="D89"/>
  <c r="W88"/>
  <c r="W86" s="1"/>
  <c r="U88"/>
  <c r="R88"/>
  <c r="P88"/>
  <c r="P86" s="1"/>
  <c r="N88"/>
  <c r="D88"/>
  <c r="W87"/>
  <c r="U87"/>
  <c r="R87"/>
  <c r="P87"/>
  <c r="N87"/>
  <c r="D87"/>
  <c r="X86"/>
  <c r="V86"/>
  <c r="U86"/>
  <c r="T86"/>
  <c r="S86"/>
  <c r="Q86"/>
  <c r="O86"/>
  <c r="G86"/>
  <c r="H86" s="1"/>
  <c r="F86"/>
  <c r="D86"/>
  <c r="W85"/>
  <c r="U85"/>
  <c r="R85"/>
  <c r="P85"/>
  <c r="N85"/>
  <c r="W84"/>
  <c r="U84"/>
  <c r="R84"/>
  <c r="P84"/>
  <c r="N84"/>
  <c r="W83"/>
  <c r="U83"/>
  <c r="R83"/>
  <c r="P83"/>
  <c r="N83"/>
  <c r="W82"/>
  <c r="U82"/>
  <c r="R82"/>
  <c r="P82"/>
  <c r="N82"/>
  <c r="W81"/>
  <c r="U81"/>
  <c r="R81"/>
  <c r="P81"/>
  <c r="N81"/>
  <c r="W80"/>
  <c r="U80"/>
  <c r="R80"/>
  <c r="P80"/>
  <c r="N80"/>
  <c r="W79"/>
  <c r="U79"/>
  <c r="R79"/>
  <c r="P79"/>
  <c r="N79"/>
  <c r="W78"/>
  <c r="U78"/>
  <c r="R78"/>
  <c r="P78"/>
  <c r="N78"/>
  <c r="W77"/>
  <c r="U77"/>
  <c r="R77"/>
  <c r="P77"/>
  <c r="N77"/>
  <c r="W76"/>
  <c r="U76"/>
  <c r="R76"/>
  <c r="P76"/>
  <c r="N76"/>
  <c r="W75"/>
  <c r="W73" s="1"/>
  <c r="W71" s="1"/>
  <c r="U75"/>
  <c r="U73" s="1"/>
  <c r="U71" s="1"/>
  <c r="R75"/>
  <c r="P75"/>
  <c r="P73" s="1"/>
  <c r="P71" s="1"/>
  <c r="N75"/>
  <c r="W74"/>
  <c r="W72" s="1"/>
  <c r="U74"/>
  <c r="R74"/>
  <c r="R72" s="1"/>
  <c r="P74"/>
  <c r="N74"/>
  <c r="N72" s="1"/>
  <c r="X73"/>
  <c r="V73"/>
  <c r="V71" s="1"/>
  <c r="T73"/>
  <c r="T71" s="1"/>
  <c r="S73"/>
  <c r="R73"/>
  <c r="R71" s="1"/>
  <c r="Q73"/>
  <c r="O73"/>
  <c r="O71" s="1"/>
  <c r="N73"/>
  <c r="X72"/>
  <c r="V72"/>
  <c r="U72"/>
  <c r="T72"/>
  <c r="S72"/>
  <c r="Q72"/>
  <c r="P72"/>
  <c r="O72"/>
  <c r="X71"/>
  <c r="S71"/>
  <c r="Q71"/>
  <c r="N71"/>
  <c r="W70"/>
  <c r="U70"/>
  <c r="R70"/>
  <c r="P70"/>
  <c r="N70"/>
  <c r="D70"/>
  <c r="W69"/>
  <c r="U69"/>
  <c r="R69"/>
  <c r="P69"/>
  <c r="N69"/>
  <c r="D69"/>
  <c r="W68"/>
  <c r="U68"/>
  <c r="R68"/>
  <c r="P68"/>
  <c r="N68"/>
  <c r="D68"/>
  <c r="W67"/>
  <c r="U67"/>
  <c r="R67"/>
  <c r="P67"/>
  <c r="N67"/>
  <c r="D67"/>
  <c r="W66"/>
  <c r="U66"/>
  <c r="R66"/>
  <c r="P66"/>
  <c r="N66"/>
  <c r="D66"/>
  <c r="W65"/>
  <c r="U65"/>
  <c r="R65"/>
  <c r="P65"/>
  <c r="N65"/>
  <c r="D65"/>
  <c r="W64"/>
  <c r="U64"/>
  <c r="R64"/>
  <c r="P64"/>
  <c r="N64"/>
  <c r="D64"/>
  <c r="W63"/>
  <c r="U63"/>
  <c r="R63"/>
  <c r="P63"/>
  <c r="N63"/>
  <c r="D63"/>
  <c r="W62"/>
  <c r="U62"/>
  <c r="R62"/>
  <c r="P62"/>
  <c r="N62"/>
  <c r="D62"/>
  <c r="W61"/>
  <c r="U61"/>
  <c r="R61"/>
  <c r="P61"/>
  <c r="N61"/>
  <c r="D61"/>
  <c r="W60"/>
  <c r="U60"/>
  <c r="R60"/>
  <c r="P60"/>
  <c r="N60"/>
  <c r="D60"/>
  <c r="W59"/>
  <c r="U59"/>
  <c r="R59"/>
  <c r="P59"/>
  <c r="N59"/>
  <c r="D59"/>
  <c r="W58"/>
  <c r="U58"/>
  <c r="R58"/>
  <c r="P58"/>
  <c r="N58"/>
  <c r="D58"/>
  <c r="W57"/>
  <c r="U57"/>
  <c r="R57"/>
  <c r="P57"/>
  <c r="N57"/>
  <c r="D57"/>
  <c r="W56"/>
  <c r="U56"/>
  <c r="R56"/>
  <c r="P56"/>
  <c r="N56"/>
  <c r="D56"/>
  <c r="W55"/>
  <c r="U55"/>
  <c r="R55"/>
  <c r="P55"/>
  <c r="N55"/>
  <c r="D55"/>
  <c r="W54"/>
  <c r="U54"/>
  <c r="R54"/>
  <c r="P54"/>
  <c r="N54"/>
  <c r="W53"/>
  <c r="U53"/>
  <c r="R53"/>
  <c r="P53"/>
  <c r="N53"/>
  <c r="W52"/>
  <c r="U52"/>
  <c r="R52"/>
  <c r="P52"/>
  <c r="N52"/>
  <c r="W51"/>
  <c r="U51"/>
  <c r="R51"/>
  <c r="P51"/>
  <c r="N51"/>
  <c r="W50"/>
  <c r="U50"/>
  <c r="R50"/>
  <c r="P50"/>
  <c r="N50"/>
  <c r="D50"/>
  <c r="W49"/>
  <c r="U49"/>
  <c r="R49"/>
  <c r="P49"/>
  <c r="N49"/>
  <c r="D49"/>
  <c r="W48"/>
  <c r="U48"/>
  <c r="R48"/>
  <c r="P48"/>
  <c r="N48"/>
  <c r="D48"/>
  <c r="W47"/>
  <c r="U47"/>
  <c r="R47"/>
  <c r="P47"/>
  <c r="N47"/>
  <c r="D47"/>
  <c r="W46"/>
  <c r="U46"/>
  <c r="R46"/>
  <c r="P46"/>
  <c r="N46"/>
  <c r="D46"/>
  <c r="W45"/>
  <c r="U45"/>
  <c r="R45"/>
  <c r="P45"/>
  <c r="N45"/>
  <c r="D45"/>
  <c r="W44"/>
  <c r="U44"/>
  <c r="R44"/>
  <c r="P44"/>
  <c r="N44"/>
  <c r="W43"/>
  <c r="U43"/>
  <c r="R43"/>
  <c r="P43"/>
  <c r="N43"/>
  <c r="U42"/>
  <c r="R42"/>
  <c r="P42"/>
  <c r="N42"/>
  <c r="D42"/>
  <c r="U41"/>
  <c r="R41"/>
  <c r="P41"/>
  <c r="N41"/>
  <c r="D41"/>
  <c r="U40"/>
  <c r="R40"/>
  <c r="P40"/>
  <c r="N40"/>
  <c r="U39"/>
  <c r="R39"/>
  <c r="P39"/>
  <c r="N39"/>
  <c r="W38"/>
  <c r="U38"/>
  <c r="R38"/>
  <c r="P38"/>
  <c r="N38"/>
  <c r="D38"/>
  <c r="W37"/>
  <c r="U37"/>
  <c r="R37"/>
  <c r="P37"/>
  <c r="N37"/>
  <c r="D37"/>
  <c r="W36"/>
  <c r="U36"/>
  <c r="R36"/>
  <c r="P36"/>
  <c r="N36"/>
  <c r="W35"/>
  <c r="U35"/>
  <c r="R35"/>
  <c r="P35"/>
  <c r="N35"/>
  <c r="W34"/>
  <c r="U34"/>
  <c r="R34"/>
  <c r="P34"/>
  <c r="N34"/>
  <c r="W33"/>
  <c r="U33"/>
  <c r="R33"/>
  <c r="P33"/>
  <c r="W32"/>
  <c r="U32"/>
  <c r="R32"/>
  <c r="P32"/>
  <c r="W31"/>
  <c r="U31"/>
  <c r="R31"/>
  <c r="P31"/>
  <c r="N31"/>
  <c r="W30"/>
  <c r="U30"/>
  <c r="R30"/>
  <c r="P30"/>
  <c r="N30"/>
  <c r="D30"/>
  <c r="W29"/>
  <c r="U29"/>
  <c r="R29"/>
  <c r="P29"/>
  <c r="N29"/>
  <c r="D29"/>
  <c r="W28"/>
  <c r="U28"/>
  <c r="R28"/>
  <c r="P28"/>
  <c r="N28"/>
  <c r="D28"/>
  <c r="W27"/>
  <c r="U27"/>
  <c r="R27"/>
  <c r="P27"/>
  <c r="N27"/>
  <c r="D27"/>
  <c r="W26"/>
  <c r="U26"/>
  <c r="R26"/>
  <c r="P26"/>
  <c r="N26"/>
  <c r="W25"/>
  <c r="U25"/>
  <c r="R25"/>
  <c r="P25"/>
  <c r="N25"/>
  <c r="W24"/>
  <c r="U24"/>
  <c r="R24"/>
  <c r="P24"/>
  <c r="N24"/>
  <c r="W23"/>
  <c r="U23"/>
  <c r="R23"/>
  <c r="P23"/>
  <c r="N23"/>
  <c r="W22"/>
  <c r="U22"/>
  <c r="R22"/>
  <c r="P22"/>
  <c r="N22"/>
  <c r="W21"/>
  <c r="U21"/>
  <c r="R21"/>
  <c r="P21"/>
  <c r="N21"/>
  <c r="W20"/>
  <c r="U20"/>
  <c r="R20"/>
  <c r="P20"/>
  <c r="N20"/>
  <c r="D20"/>
  <c r="W19"/>
  <c r="U19"/>
  <c r="R19"/>
  <c r="P19"/>
  <c r="N19"/>
  <c r="W18"/>
  <c r="U18"/>
  <c r="R18"/>
  <c r="P18"/>
  <c r="N18"/>
  <c r="W17"/>
  <c r="W15" s="1"/>
  <c r="U17"/>
  <c r="U15" s="1"/>
  <c r="R17"/>
  <c r="P17"/>
  <c r="P15" s="1"/>
  <c r="N17"/>
  <c r="N15" s="1"/>
  <c r="W16"/>
  <c r="W14" s="1"/>
  <c r="U16"/>
  <c r="R16"/>
  <c r="R14" s="1"/>
  <c r="P16"/>
  <c r="N16"/>
  <c r="N14" s="1"/>
  <c r="X15"/>
  <c r="V15"/>
  <c r="T15"/>
  <c r="S15"/>
  <c r="R15"/>
  <c r="Q15"/>
  <c r="O15"/>
  <c r="X14"/>
  <c r="V14"/>
  <c r="U14"/>
  <c r="T14"/>
  <c r="S14"/>
  <c r="Q14"/>
  <c r="P14"/>
  <c r="O14"/>
  <c r="D111" l="1"/>
  <c r="D113"/>
  <c r="D115"/>
  <c r="D129"/>
  <c r="D137"/>
  <c r="P138"/>
  <c r="U138"/>
  <c r="D141"/>
  <c r="W139"/>
  <c r="D143"/>
  <c r="D145"/>
  <c r="D150"/>
  <c r="D152"/>
  <c r="D154"/>
  <c r="D107"/>
  <c r="D114"/>
  <c r="D123"/>
  <c r="H127"/>
  <c r="R127"/>
  <c r="D128"/>
  <c r="U139"/>
  <c r="E138"/>
  <c r="D103"/>
  <c r="D105"/>
  <c r="D106"/>
  <c r="D119"/>
  <c r="D121"/>
  <c r="D122"/>
  <c r="D133"/>
  <c r="D135"/>
  <c r="D136"/>
  <c r="W138"/>
  <c r="D148"/>
  <c r="K72"/>
  <c r="D101"/>
  <c r="D102"/>
  <c r="D109"/>
  <c r="D110"/>
  <c r="D117"/>
  <c r="D118"/>
  <c r="D125"/>
  <c r="D126"/>
  <c r="D131"/>
  <c r="D127" s="1"/>
  <c r="D132"/>
  <c r="D151"/>
  <c r="D153"/>
  <c r="F97"/>
  <c r="E93"/>
  <c r="E86"/>
  <c r="N86"/>
  <c r="R86"/>
  <c r="H72"/>
  <c r="D72" s="1"/>
  <c r="G97"/>
  <c r="P93"/>
  <c r="P97" s="1"/>
  <c r="O97"/>
  <c r="Q97"/>
  <c r="S97"/>
  <c r="U97"/>
  <c r="H73"/>
  <c r="H71" s="1"/>
  <c r="I71"/>
  <c r="K73"/>
  <c r="K71" s="1"/>
  <c r="L71"/>
  <c r="L97" s="1"/>
  <c r="K97" s="1"/>
  <c r="M99" s="1"/>
  <c r="T97"/>
  <c r="V97"/>
  <c r="X97"/>
  <c r="N97"/>
  <c r="R97"/>
  <c r="W97"/>
  <c r="D104"/>
  <c r="D108"/>
  <c r="D112"/>
  <c r="D116"/>
  <c r="D120"/>
  <c r="D124"/>
  <c r="E127"/>
  <c r="K127"/>
  <c r="D130"/>
  <c r="D134"/>
  <c r="E139"/>
  <c r="D140"/>
  <c r="D142"/>
  <c r="D144"/>
  <c r="D149"/>
  <c r="D155"/>
  <c r="I97"/>
  <c r="H97" s="1"/>
  <c r="D15"/>
  <c r="I22" i="35"/>
  <c r="H33"/>
  <c r="K33"/>
  <c r="H13"/>
  <c r="H44"/>
  <c r="L19"/>
  <c r="L15" l="1"/>
  <c r="E97" i="38"/>
  <c r="D97"/>
  <c r="E98" s="1"/>
  <c r="J99" s="1"/>
  <c r="H54" i="35"/>
  <c r="H53"/>
  <c r="H52"/>
  <c r="H51"/>
  <c r="L12" l="1"/>
  <c r="I78"/>
  <c r="I139"/>
  <c r="H139" s="1"/>
  <c r="L139"/>
  <c r="H149"/>
  <c r="H138"/>
  <c r="D138" s="1"/>
  <c r="H148"/>
  <c r="I77"/>
  <c r="I75"/>
  <c r="H34"/>
  <c r="H35"/>
  <c r="H19" l="1"/>
  <c r="K19"/>
  <c r="I18"/>
  <c r="K18"/>
  <c r="H17"/>
  <c r="K17"/>
  <c r="K16"/>
  <c r="I16"/>
  <c r="H15"/>
  <c r="H14"/>
  <c r="K14"/>
  <c r="K13"/>
  <c r="K15"/>
  <c r="K12" s="1"/>
  <c r="H16" l="1"/>
  <c r="D16" s="1"/>
  <c r="D17"/>
  <c r="H18"/>
  <c r="D18" s="1"/>
  <c r="D14" s="1"/>
  <c r="D19"/>
  <c r="D15"/>
  <c r="H22"/>
  <c r="H21"/>
  <c r="H24"/>
  <c r="H23"/>
  <c r="H26"/>
  <c r="H25"/>
  <c r="H31"/>
  <c r="D31" s="1"/>
  <c r="I93" l="1"/>
  <c r="D93" s="1"/>
  <c r="D96"/>
  <c r="L81"/>
  <c r="L80"/>
  <c r="L75"/>
  <c r="L74"/>
  <c r="I81"/>
  <c r="I80"/>
  <c r="I40"/>
  <c r="I39"/>
  <c r="I76"/>
  <c r="L85"/>
  <c r="L84"/>
  <c r="D84" s="1"/>
  <c r="L77"/>
  <c r="L76"/>
  <c r="I74"/>
  <c r="I32"/>
  <c r="I83"/>
  <c r="I82"/>
  <c r="H32" l="1"/>
  <c r="D83"/>
  <c r="I72"/>
  <c r="D77"/>
  <c r="D85"/>
  <c r="D39"/>
  <c r="H39"/>
  <c r="D80"/>
  <c r="D82"/>
  <c r="D76"/>
  <c r="D40"/>
  <c r="H40"/>
  <c r="H12" s="1"/>
  <c r="I12"/>
  <c r="I73"/>
  <c r="D75"/>
  <c r="D81"/>
  <c r="D74"/>
  <c r="L79"/>
  <c r="L78"/>
  <c r="L32"/>
  <c r="D44"/>
  <c r="I43"/>
  <c r="D43" l="1"/>
  <c r="H43"/>
  <c r="D32"/>
  <c r="K32"/>
  <c r="D79"/>
  <c r="D73" s="1"/>
  <c r="D71" s="1"/>
  <c r="I71"/>
  <c r="I97" s="1"/>
  <c r="D78"/>
  <c r="L72"/>
  <c r="D33"/>
  <c r="L73"/>
  <c r="F138"/>
  <c r="G138"/>
  <c r="J138"/>
  <c r="F139"/>
  <c r="G139"/>
  <c r="J139"/>
  <c r="E140"/>
  <c r="K140"/>
  <c r="E141"/>
  <c r="K141"/>
  <c r="E142"/>
  <c r="K142"/>
  <c r="E143"/>
  <c r="K143"/>
  <c r="E144"/>
  <c r="K144"/>
  <c r="E145"/>
  <c r="E146"/>
  <c r="K146"/>
  <c r="E147"/>
  <c r="K147"/>
  <c r="E148"/>
  <c r="K148"/>
  <c r="K138" s="1"/>
  <c r="E149"/>
  <c r="K149"/>
  <c r="K139" s="1"/>
  <c r="E150"/>
  <c r="K150"/>
  <c r="E151"/>
  <c r="K151"/>
  <c r="E152"/>
  <c r="K152"/>
  <c r="E153"/>
  <c r="K153"/>
  <c r="E154"/>
  <c r="K154"/>
  <c r="E155"/>
  <c r="K155"/>
  <c r="I24" i="36"/>
  <c r="I26"/>
  <c r="I27"/>
  <c r="I28"/>
  <c r="I29"/>
  <c r="H30"/>
  <c r="G30" s="1"/>
  <c r="E30" s="1"/>
  <c r="I30"/>
  <c r="H31"/>
  <c r="G31" s="1"/>
  <c r="E31" s="1"/>
  <c r="I31"/>
  <c r="H32"/>
  <c r="G32" s="1"/>
  <c r="E32" s="1"/>
  <c r="I32"/>
  <c r="H33"/>
  <c r="G33" s="1"/>
  <c r="E33" s="1"/>
  <c r="I33"/>
  <c r="I34"/>
  <c r="W156" i="37"/>
  <c r="U156"/>
  <c r="R156"/>
  <c r="P156"/>
  <c r="N156"/>
  <c r="K156"/>
  <c r="H156"/>
  <c r="E156"/>
  <c r="W155"/>
  <c r="U155"/>
  <c r="R155"/>
  <c r="P155"/>
  <c r="N155"/>
  <c r="K155"/>
  <c r="H155"/>
  <c r="E155"/>
  <c r="D155" s="1"/>
  <c r="W154"/>
  <c r="U154"/>
  <c r="R154"/>
  <c r="P154"/>
  <c r="N154"/>
  <c r="K154"/>
  <c r="E154"/>
  <c r="D154"/>
  <c r="W153"/>
  <c r="U153"/>
  <c r="R153"/>
  <c r="P153"/>
  <c r="N153"/>
  <c r="K153"/>
  <c r="E153"/>
  <c r="D153"/>
  <c r="W152"/>
  <c r="U152"/>
  <c r="R152"/>
  <c r="P152"/>
  <c r="N152"/>
  <c r="K152"/>
  <c r="H152"/>
  <c r="E152"/>
  <c r="D152" s="1"/>
  <c r="W151"/>
  <c r="U151"/>
  <c r="R151"/>
  <c r="P151"/>
  <c r="N151"/>
  <c r="K151"/>
  <c r="H151"/>
  <c r="E151"/>
  <c r="D151" s="1"/>
  <c r="W150"/>
  <c r="U150"/>
  <c r="R150"/>
  <c r="P150"/>
  <c r="N150"/>
  <c r="K150"/>
  <c r="E150"/>
  <c r="D150"/>
  <c r="W149"/>
  <c r="U149"/>
  <c r="R149"/>
  <c r="P149"/>
  <c r="N149"/>
  <c r="K149"/>
  <c r="E149"/>
  <c r="D149"/>
  <c r="W148"/>
  <c r="U148"/>
  <c r="R148"/>
  <c r="P148"/>
  <c r="N148"/>
  <c r="K148"/>
  <c r="W147"/>
  <c r="U147"/>
  <c r="R147"/>
  <c r="P147"/>
  <c r="N147"/>
  <c r="K147"/>
  <c r="W146"/>
  <c r="U146"/>
  <c r="R146"/>
  <c r="P146"/>
  <c r="N146"/>
  <c r="K146"/>
  <c r="E146"/>
  <c r="W145"/>
  <c r="U145"/>
  <c r="R145"/>
  <c r="P145"/>
  <c r="N145"/>
  <c r="K145"/>
  <c r="E145"/>
  <c r="D145" s="1"/>
  <c r="W144"/>
  <c r="U144"/>
  <c r="R144"/>
  <c r="P144"/>
  <c r="N144"/>
  <c r="K144"/>
  <c r="E144"/>
  <c r="W143"/>
  <c r="U143"/>
  <c r="R143"/>
  <c r="P143"/>
  <c r="N143"/>
  <c r="K143"/>
  <c r="E143"/>
  <c r="D143" s="1"/>
  <c r="W142"/>
  <c r="U142"/>
  <c r="R142"/>
  <c r="P142"/>
  <c r="P140" s="1"/>
  <c r="N142"/>
  <c r="K142"/>
  <c r="K140" s="1"/>
  <c r="H142"/>
  <c r="E142"/>
  <c r="D142" s="1"/>
  <c r="W141"/>
  <c r="U141"/>
  <c r="R141"/>
  <c r="P141"/>
  <c r="N141"/>
  <c r="K141"/>
  <c r="H141"/>
  <c r="E141"/>
  <c r="D141" s="1"/>
  <c r="X140"/>
  <c r="W140"/>
  <c r="V140"/>
  <c r="U140"/>
  <c r="T140"/>
  <c r="S140"/>
  <c r="R140"/>
  <c r="Q140"/>
  <c r="O140"/>
  <c r="N140"/>
  <c r="M140"/>
  <c r="L140"/>
  <c r="J140"/>
  <c r="H140"/>
  <c r="G140"/>
  <c r="F140"/>
  <c r="E140"/>
  <c r="D140"/>
  <c r="X139"/>
  <c r="W139"/>
  <c r="V139"/>
  <c r="U139"/>
  <c r="T139"/>
  <c r="S139"/>
  <c r="R139"/>
  <c r="Q139"/>
  <c r="P139"/>
  <c r="O139"/>
  <c r="N139"/>
  <c r="M139"/>
  <c r="L139"/>
  <c r="K139"/>
  <c r="J139"/>
  <c r="H139"/>
  <c r="G139"/>
  <c r="F139"/>
  <c r="E139"/>
  <c r="D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D133" s="1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E128" s="1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D123"/>
  <c r="W122"/>
  <c r="U122"/>
  <c r="R122"/>
  <c r="P122"/>
  <c r="N122"/>
  <c r="K122"/>
  <c r="H122"/>
  <c r="E122"/>
  <c r="D122" s="1"/>
  <c r="W121"/>
  <c r="U121"/>
  <c r="R121"/>
  <c r="P121"/>
  <c r="N121"/>
  <c r="K121"/>
  <c r="H121"/>
  <c r="E121"/>
  <c r="D121" s="1"/>
  <c r="W120"/>
  <c r="U120"/>
  <c r="R120"/>
  <c r="P120"/>
  <c r="N120"/>
  <c r="K120"/>
  <c r="H120"/>
  <c r="E120"/>
  <c r="W119"/>
  <c r="U119"/>
  <c r="R119"/>
  <c r="P119"/>
  <c r="N119"/>
  <c r="K119"/>
  <c r="H119"/>
  <c r="E119"/>
  <c r="D119" s="1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D115" s="1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D107" s="1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L97"/>
  <c r="I97"/>
  <c r="E97"/>
  <c r="W96"/>
  <c r="U96"/>
  <c r="R96"/>
  <c r="P96"/>
  <c r="N96"/>
  <c r="K96"/>
  <c r="E96"/>
  <c r="W95"/>
  <c r="W94" s="1"/>
  <c r="U95"/>
  <c r="R95"/>
  <c r="R94" s="1"/>
  <c r="P95"/>
  <c r="N95"/>
  <c r="N94" s="1"/>
  <c r="K95"/>
  <c r="E95"/>
  <c r="D95"/>
  <c r="X94"/>
  <c r="V94"/>
  <c r="T94"/>
  <c r="S94"/>
  <c r="Q94"/>
  <c r="O94"/>
  <c r="M94"/>
  <c r="L94"/>
  <c r="J94"/>
  <c r="I94"/>
  <c r="G94"/>
  <c r="F94"/>
  <c r="E94"/>
  <c r="W93"/>
  <c r="U93"/>
  <c r="R93"/>
  <c r="P93"/>
  <c r="N93"/>
  <c r="K93"/>
  <c r="I93"/>
  <c r="E93"/>
  <c r="W92"/>
  <c r="U92"/>
  <c r="R92"/>
  <c r="P92"/>
  <c r="N92"/>
  <c r="K92"/>
  <c r="I92"/>
  <c r="E92"/>
  <c r="W91"/>
  <c r="U91"/>
  <c r="R91"/>
  <c r="P91"/>
  <c r="N91"/>
  <c r="K91"/>
  <c r="I91"/>
  <c r="E91"/>
  <c r="W90"/>
  <c r="U90"/>
  <c r="R90"/>
  <c r="P90"/>
  <c r="N90"/>
  <c r="K90"/>
  <c r="I90"/>
  <c r="W89"/>
  <c r="W87" s="1"/>
  <c r="U89"/>
  <c r="R89"/>
  <c r="P89"/>
  <c r="N89"/>
  <c r="K89"/>
  <c r="E89"/>
  <c r="E87" s="1"/>
  <c r="W88"/>
  <c r="U88"/>
  <c r="R88"/>
  <c r="P88"/>
  <c r="N88"/>
  <c r="K88"/>
  <c r="D88" s="1"/>
  <c r="E88"/>
  <c r="X87"/>
  <c r="V87"/>
  <c r="T87"/>
  <c r="S87"/>
  <c r="Q87"/>
  <c r="O87"/>
  <c r="M87"/>
  <c r="L87"/>
  <c r="J87"/>
  <c r="I87"/>
  <c r="G87"/>
  <c r="F87"/>
  <c r="W86"/>
  <c r="U86"/>
  <c r="R86"/>
  <c r="P86"/>
  <c r="N86"/>
  <c r="L86"/>
  <c r="I86"/>
  <c r="E86"/>
  <c r="W85"/>
  <c r="U85"/>
  <c r="R85"/>
  <c r="P85"/>
  <c r="N85"/>
  <c r="L85"/>
  <c r="I85"/>
  <c r="E85"/>
  <c r="W84"/>
  <c r="U84"/>
  <c r="R84"/>
  <c r="P84"/>
  <c r="N84"/>
  <c r="K84"/>
  <c r="I84"/>
  <c r="E84"/>
  <c r="W83"/>
  <c r="U83"/>
  <c r="R83"/>
  <c r="P83"/>
  <c r="N83"/>
  <c r="K83"/>
  <c r="I83"/>
  <c r="E83"/>
  <c r="W82"/>
  <c r="U82"/>
  <c r="R82"/>
  <c r="P82"/>
  <c r="N82"/>
  <c r="L82"/>
  <c r="I82"/>
  <c r="E82"/>
  <c r="W81"/>
  <c r="U81"/>
  <c r="R81"/>
  <c r="P81"/>
  <c r="N81"/>
  <c r="L81"/>
  <c r="I81"/>
  <c r="E81"/>
  <c r="W80"/>
  <c r="U80"/>
  <c r="R80"/>
  <c r="P80"/>
  <c r="N80"/>
  <c r="L80"/>
  <c r="I80"/>
  <c r="E80"/>
  <c r="W79"/>
  <c r="U79"/>
  <c r="R79"/>
  <c r="P79"/>
  <c r="N79"/>
  <c r="L79"/>
  <c r="I79"/>
  <c r="E79"/>
  <c r="W78"/>
  <c r="U78"/>
  <c r="R78"/>
  <c r="P78"/>
  <c r="N78"/>
  <c r="L78"/>
  <c r="K78"/>
  <c r="I78"/>
  <c r="E78"/>
  <c r="W77"/>
  <c r="U77"/>
  <c r="R77"/>
  <c r="P77"/>
  <c r="N77"/>
  <c r="L77"/>
  <c r="I77"/>
  <c r="E77"/>
  <c r="W76"/>
  <c r="W74" s="1"/>
  <c r="W72" s="1"/>
  <c r="U76"/>
  <c r="R76"/>
  <c r="R74" s="1"/>
  <c r="R72" s="1"/>
  <c r="P76"/>
  <c r="N76"/>
  <c r="N74" s="1"/>
  <c r="N72" s="1"/>
  <c r="L76"/>
  <c r="I76"/>
  <c r="E76"/>
  <c r="W75"/>
  <c r="W73" s="1"/>
  <c r="U75"/>
  <c r="U73" s="1"/>
  <c r="R75"/>
  <c r="R73" s="1"/>
  <c r="P75"/>
  <c r="N75"/>
  <c r="N73" s="1"/>
  <c r="L75"/>
  <c r="I75"/>
  <c r="E75"/>
  <c r="X74"/>
  <c r="V74"/>
  <c r="U74"/>
  <c r="T74"/>
  <c r="S74"/>
  <c r="Q74"/>
  <c r="P74"/>
  <c r="O74"/>
  <c r="M74"/>
  <c r="L74"/>
  <c r="I74"/>
  <c r="H74" s="1"/>
  <c r="G74"/>
  <c r="G72" s="1"/>
  <c r="F74"/>
  <c r="F72" s="1"/>
  <c r="X73"/>
  <c r="V73"/>
  <c r="T73"/>
  <c r="S73"/>
  <c r="Q73"/>
  <c r="P73"/>
  <c r="O73"/>
  <c r="M73"/>
  <c r="L73"/>
  <c r="I73"/>
  <c r="H73" s="1"/>
  <c r="G73"/>
  <c r="F73"/>
  <c r="E73"/>
  <c r="X72"/>
  <c r="V72"/>
  <c r="U72"/>
  <c r="T72"/>
  <c r="S72"/>
  <c r="Q72"/>
  <c r="P72"/>
  <c r="O72"/>
  <c r="M72"/>
  <c r="L72"/>
  <c r="J72"/>
  <c r="W71"/>
  <c r="U71"/>
  <c r="R71"/>
  <c r="P71"/>
  <c r="N71"/>
  <c r="K71"/>
  <c r="D71" s="1"/>
  <c r="W70"/>
  <c r="U70"/>
  <c r="R70"/>
  <c r="P70"/>
  <c r="N70"/>
  <c r="K70"/>
  <c r="D70" s="1"/>
  <c r="W69"/>
  <c r="U69"/>
  <c r="R69"/>
  <c r="P69"/>
  <c r="N69"/>
  <c r="K69"/>
  <c r="D69"/>
  <c r="W68"/>
  <c r="U68"/>
  <c r="R68"/>
  <c r="P68"/>
  <c r="N68"/>
  <c r="K68"/>
  <c r="D68" s="1"/>
  <c r="W67"/>
  <c r="U67"/>
  <c r="R67"/>
  <c r="P67"/>
  <c r="N67"/>
  <c r="K67"/>
  <c r="D67" s="1"/>
  <c r="W66"/>
  <c r="U66"/>
  <c r="R66"/>
  <c r="P66"/>
  <c r="N66"/>
  <c r="K66"/>
  <c r="D66" s="1"/>
  <c r="W65"/>
  <c r="U65"/>
  <c r="R65"/>
  <c r="P65"/>
  <c r="N65"/>
  <c r="K65"/>
  <c r="I65"/>
  <c r="W64"/>
  <c r="U64"/>
  <c r="R64"/>
  <c r="P64"/>
  <c r="N64"/>
  <c r="K64"/>
  <c r="I64"/>
  <c r="W63"/>
  <c r="U63"/>
  <c r="R63"/>
  <c r="P63"/>
  <c r="N63"/>
  <c r="K63"/>
  <c r="D63" s="1"/>
  <c r="W62"/>
  <c r="U62"/>
  <c r="R62"/>
  <c r="P62"/>
  <c r="N62"/>
  <c r="K62"/>
  <c r="W61"/>
  <c r="U61"/>
  <c r="R61"/>
  <c r="P61"/>
  <c r="N61"/>
  <c r="K61"/>
  <c r="D61"/>
  <c r="W60"/>
  <c r="U60"/>
  <c r="R60"/>
  <c r="P60"/>
  <c r="N60"/>
  <c r="K60"/>
  <c r="W59"/>
  <c r="U59"/>
  <c r="R59"/>
  <c r="P59"/>
  <c r="N59"/>
  <c r="K59"/>
  <c r="E59"/>
  <c r="W58"/>
  <c r="U58"/>
  <c r="R58"/>
  <c r="P58"/>
  <c r="N58"/>
  <c r="K58"/>
  <c r="E58"/>
  <c r="D58"/>
  <c r="W57"/>
  <c r="U57"/>
  <c r="R57"/>
  <c r="P57"/>
  <c r="N57"/>
  <c r="K57"/>
  <c r="D57" s="1"/>
  <c r="E57"/>
  <c r="W56"/>
  <c r="U56"/>
  <c r="R56"/>
  <c r="P56"/>
  <c r="N56"/>
  <c r="K56"/>
  <c r="D56" s="1"/>
  <c r="E56"/>
  <c r="W55"/>
  <c r="U55"/>
  <c r="R55"/>
  <c r="P55"/>
  <c r="N55"/>
  <c r="K55"/>
  <c r="I55"/>
  <c r="E55"/>
  <c r="W54"/>
  <c r="U54"/>
  <c r="R54"/>
  <c r="P54"/>
  <c r="N54"/>
  <c r="K54"/>
  <c r="I54"/>
  <c r="E54"/>
  <c r="W53"/>
  <c r="U53"/>
  <c r="R53"/>
  <c r="P53"/>
  <c r="N53"/>
  <c r="K53"/>
  <c r="I53"/>
  <c r="E53"/>
  <c r="W52"/>
  <c r="U52"/>
  <c r="R52"/>
  <c r="P52"/>
  <c r="N52"/>
  <c r="K52"/>
  <c r="I52"/>
  <c r="E52"/>
  <c r="W51"/>
  <c r="U51"/>
  <c r="R51"/>
  <c r="P51"/>
  <c r="N51"/>
  <c r="K51"/>
  <c r="I51"/>
  <c r="E51"/>
  <c r="W50"/>
  <c r="U50"/>
  <c r="R50"/>
  <c r="P50"/>
  <c r="N50"/>
  <c r="K50"/>
  <c r="I50"/>
  <c r="E50"/>
  <c r="W49"/>
  <c r="U49"/>
  <c r="R49"/>
  <c r="P49"/>
  <c r="N49"/>
  <c r="K49"/>
  <c r="I49"/>
  <c r="E49"/>
  <c r="W48"/>
  <c r="U48"/>
  <c r="R48"/>
  <c r="P48"/>
  <c r="N48"/>
  <c r="K48"/>
  <c r="I48"/>
  <c r="E48"/>
  <c r="W47"/>
  <c r="U47"/>
  <c r="R47"/>
  <c r="P47"/>
  <c r="N47"/>
  <c r="K47"/>
  <c r="E47"/>
  <c r="W46"/>
  <c r="U46"/>
  <c r="R46"/>
  <c r="P46"/>
  <c r="N46"/>
  <c r="K46"/>
  <c r="E46"/>
  <c r="D46"/>
  <c r="W45"/>
  <c r="U45"/>
  <c r="R45"/>
  <c r="P45"/>
  <c r="N45"/>
  <c r="K45"/>
  <c r="I45"/>
  <c r="E45"/>
  <c r="W44"/>
  <c r="U44"/>
  <c r="R44"/>
  <c r="P44"/>
  <c r="N44"/>
  <c r="K44"/>
  <c r="I44"/>
  <c r="E44"/>
  <c r="U43"/>
  <c r="R43"/>
  <c r="P43"/>
  <c r="N43"/>
  <c r="L43"/>
  <c r="U42"/>
  <c r="R42"/>
  <c r="P42"/>
  <c r="N42"/>
  <c r="L42"/>
  <c r="K42" s="1"/>
  <c r="D42" s="1"/>
  <c r="U41"/>
  <c r="R41"/>
  <c r="P41"/>
  <c r="N41"/>
  <c r="K41"/>
  <c r="D41" s="1"/>
  <c r="U40"/>
  <c r="R40"/>
  <c r="P40"/>
  <c r="N40"/>
  <c r="K40"/>
  <c r="D40" s="1"/>
  <c r="W39"/>
  <c r="U39"/>
  <c r="R39"/>
  <c r="P39"/>
  <c r="N39"/>
  <c r="K39"/>
  <c r="E39"/>
  <c r="W38"/>
  <c r="U38"/>
  <c r="R38"/>
  <c r="P38"/>
  <c r="N38"/>
  <c r="K38"/>
  <c r="E38"/>
  <c r="D38"/>
  <c r="W37"/>
  <c r="U37"/>
  <c r="R37"/>
  <c r="P37"/>
  <c r="N37"/>
  <c r="K37"/>
  <c r="E37"/>
  <c r="W36"/>
  <c r="U36"/>
  <c r="R36"/>
  <c r="P36"/>
  <c r="N36"/>
  <c r="K36"/>
  <c r="D36" s="1"/>
  <c r="E36"/>
  <c r="W35"/>
  <c r="U35"/>
  <c r="R35"/>
  <c r="P35"/>
  <c r="N35"/>
  <c r="K35"/>
  <c r="E35"/>
  <c r="W34"/>
  <c r="U34"/>
  <c r="R34"/>
  <c r="P34"/>
  <c r="K34"/>
  <c r="I34"/>
  <c r="E34"/>
  <c r="W33"/>
  <c r="U33"/>
  <c r="R33"/>
  <c r="P33"/>
  <c r="K33"/>
  <c r="I33"/>
  <c r="E33"/>
  <c r="W32"/>
  <c r="U32"/>
  <c r="R32"/>
  <c r="P32"/>
  <c r="N32"/>
  <c r="K32"/>
  <c r="I32"/>
  <c r="W31"/>
  <c r="U31"/>
  <c r="R31"/>
  <c r="P31"/>
  <c r="N31"/>
  <c r="K31"/>
  <c r="D31" s="1"/>
  <c r="W30"/>
  <c r="U30"/>
  <c r="R30"/>
  <c r="P30"/>
  <c r="N30"/>
  <c r="K30"/>
  <c r="D30"/>
  <c r="W29"/>
  <c r="U29"/>
  <c r="R29"/>
  <c r="P29"/>
  <c r="N29"/>
  <c r="K29"/>
  <c r="D29" s="1"/>
  <c r="W28"/>
  <c r="U28"/>
  <c r="R28"/>
  <c r="P28"/>
  <c r="N28"/>
  <c r="K28"/>
  <c r="D28" s="1"/>
  <c r="W27"/>
  <c r="U27"/>
  <c r="R27"/>
  <c r="P27"/>
  <c r="N27"/>
  <c r="K27"/>
  <c r="I27"/>
  <c r="W26"/>
  <c r="U26"/>
  <c r="R26"/>
  <c r="P26"/>
  <c r="N26"/>
  <c r="K26"/>
  <c r="I26"/>
  <c r="W25"/>
  <c r="U25"/>
  <c r="R25"/>
  <c r="P25"/>
  <c r="N25"/>
  <c r="K25"/>
  <c r="I25"/>
  <c r="W24"/>
  <c r="U24"/>
  <c r="R24"/>
  <c r="P24"/>
  <c r="N24"/>
  <c r="K24"/>
  <c r="I24"/>
  <c r="W23"/>
  <c r="U23"/>
  <c r="R23"/>
  <c r="P23"/>
  <c r="N23"/>
  <c r="M23"/>
  <c r="L23"/>
  <c r="W22"/>
  <c r="U22"/>
  <c r="R22"/>
  <c r="P22"/>
  <c r="N22"/>
  <c r="K22"/>
  <c r="I22"/>
  <c r="W21"/>
  <c r="U21"/>
  <c r="R21"/>
  <c r="P21"/>
  <c r="N21"/>
  <c r="K21"/>
  <c r="W20"/>
  <c r="U20"/>
  <c r="R20"/>
  <c r="P20"/>
  <c r="N20"/>
  <c r="K20"/>
  <c r="E20"/>
  <c r="D20"/>
  <c r="W19"/>
  <c r="U19"/>
  <c r="R19"/>
  <c r="P19"/>
  <c r="N19"/>
  <c r="K19"/>
  <c r="E19"/>
  <c r="D19"/>
  <c r="W18"/>
  <c r="W16" s="1"/>
  <c r="U18"/>
  <c r="R18"/>
  <c r="P18"/>
  <c r="P16" s="1"/>
  <c r="N18"/>
  <c r="N16" s="1"/>
  <c r="K18"/>
  <c r="D18" s="1"/>
  <c r="D16" s="1"/>
  <c r="E18"/>
  <c r="E16" s="1"/>
  <c r="E13" s="1"/>
  <c r="W17"/>
  <c r="U17"/>
  <c r="R17"/>
  <c r="P17"/>
  <c r="N17"/>
  <c r="K17"/>
  <c r="D17" s="1"/>
  <c r="E17"/>
  <c r="X16"/>
  <c r="V16"/>
  <c r="U16"/>
  <c r="T16"/>
  <c r="S16"/>
  <c r="R16"/>
  <c r="Q16"/>
  <c r="O16"/>
  <c r="M16"/>
  <c r="L16"/>
  <c r="I16"/>
  <c r="H16" s="1"/>
  <c r="G16"/>
  <c r="F16"/>
  <c r="F13" s="1"/>
  <c r="X15"/>
  <c r="W15"/>
  <c r="V15"/>
  <c r="U15"/>
  <c r="T15"/>
  <c r="S15"/>
  <c r="Q15"/>
  <c r="O15"/>
  <c r="M15"/>
  <c r="L15"/>
  <c r="I15"/>
  <c r="H15" s="1"/>
  <c r="G15"/>
  <c r="F15"/>
  <c r="E15"/>
  <c r="K14"/>
  <c r="D14" s="1"/>
  <c r="L13"/>
  <c r="J13"/>
  <c r="G13"/>
  <c r="G131" i="36"/>
  <c r="G132"/>
  <c r="G133"/>
  <c r="G134"/>
  <c r="G135"/>
  <c r="G136"/>
  <c r="G137"/>
  <c r="G138"/>
  <c r="G139"/>
  <c r="E139" s="1"/>
  <c r="G140"/>
  <c r="E140" s="1"/>
  <c r="G141"/>
  <c r="G142"/>
  <c r="G143"/>
  <c r="G144"/>
  <c r="G145"/>
  <c r="G146"/>
  <c r="G130"/>
  <c r="E130" s="1"/>
  <c r="G129"/>
  <c r="E129" s="1"/>
  <c r="E74" i="37" l="1"/>
  <c r="E72" s="1"/>
  <c r="U94"/>
  <c r="D103"/>
  <c r="D105"/>
  <c r="D106"/>
  <c r="D129"/>
  <c r="D131"/>
  <c r="D132"/>
  <c r="H87"/>
  <c r="K23"/>
  <c r="H27" i="36"/>
  <c r="G27" s="1"/>
  <c r="E27" s="1"/>
  <c r="F27" s="1"/>
  <c r="H25" i="37"/>
  <c r="H32"/>
  <c r="D32" s="1"/>
  <c r="H33"/>
  <c r="D33" s="1"/>
  <c r="K43"/>
  <c r="D43" s="1"/>
  <c r="H44"/>
  <c r="D44" s="1"/>
  <c r="H48"/>
  <c r="D48" s="1"/>
  <c r="H49"/>
  <c r="D49" s="1"/>
  <c r="H50"/>
  <c r="D100"/>
  <c r="H51"/>
  <c r="H52"/>
  <c r="H53"/>
  <c r="H54"/>
  <c r="H55"/>
  <c r="H64"/>
  <c r="H65"/>
  <c r="D65" s="1"/>
  <c r="H75"/>
  <c r="H76"/>
  <c r="H77"/>
  <c r="H79"/>
  <c r="H80"/>
  <c r="H81"/>
  <c r="H82"/>
  <c r="H83"/>
  <c r="H84"/>
  <c r="H85"/>
  <c r="H86"/>
  <c r="M13"/>
  <c r="K13" s="1"/>
  <c r="K16"/>
  <c r="N15"/>
  <c r="R15"/>
  <c r="H22"/>
  <c r="H24"/>
  <c r="H26"/>
  <c r="H29" i="36"/>
  <c r="G29" s="1"/>
  <c r="E29" s="1"/>
  <c r="F29" s="1"/>
  <c r="H27" i="37"/>
  <c r="D27" s="1"/>
  <c r="H34"/>
  <c r="D34" s="1"/>
  <c r="H45"/>
  <c r="D45" s="1"/>
  <c r="K72"/>
  <c r="K73"/>
  <c r="K74"/>
  <c r="K75"/>
  <c r="K76"/>
  <c r="K77"/>
  <c r="H78"/>
  <c r="D78" s="1"/>
  <c r="K79"/>
  <c r="K80"/>
  <c r="K81"/>
  <c r="K82"/>
  <c r="K85"/>
  <c r="K86"/>
  <c r="P87"/>
  <c r="U87"/>
  <c r="H90"/>
  <c r="H91"/>
  <c r="H92"/>
  <c r="H93"/>
  <c r="H94"/>
  <c r="K94"/>
  <c r="H97"/>
  <c r="D111"/>
  <c r="D113"/>
  <c r="D114"/>
  <c r="D127"/>
  <c r="L71" i="35"/>
  <c r="L97" s="1"/>
  <c r="K97" s="1"/>
  <c r="D72"/>
  <c r="D139"/>
  <c r="E139"/>
  <c r="E138"/>
  <c r="D76" i="37"/>
  <c r="D21"/>
  <c r="D24"/>
  <c r="D37"/>
  <c r="D83"/>
  <c r="D84"/>
  <c r="K87"/>
  <c r="D87" s="1"/>
  <c r="D102"/>
  <c r="D109"/>
  <c r="D110"/>
  <c r="D117"/>
  <c r="D118"/>
  <c r="D125"/>
  <c r="D126"/>
  <c r="K128"/>
  <c r="R128"/>
  <c r="D135"/>
  <c r="D136"/>
  <c r="D137"/>
  <c r="D138"/>
  <c r="D144"/>
  <c r="D146"/>
  <c r="K15"/>
  <c r="D15" s="1"/>
  <c r="D50"/>
  <c r="D52"/>
  <c r="D53"/>
  <c r="D54"/>
  <c r="D55"/>
  <c r="D60"/>
  <c r="D62"/>
  <c r="I100"/>
  <c r="D86"/>
  <c r="P15"/>
  <c r="D22"/>
  <c r="D25"/>
  <c r="D26"/>
  <c r="D35"/>
  <c r="D39"/>
  <c r="D47"/>
  <c r="D51"/>
  <c r="D59"/>
  <c r="D64"/>
  <c r="J98"/>
  <c r="O98"/>
  <c r="S98"/>
  <c r="U98"/>
  <c r="L98"/>
  <c r="H128"/>
  <c r="D130"/>
  <c r="D128" s="1"/>
  <c r="D134"/>
  <c r="D156"/>
  <c r="D77"/>
  <c r="D81"/>
  <c r="D89"/>
  <c r="D90"/>
  <c r="D91"/>
  <c r="N87"/>
  <c r="R87"/>
  <c r="D92"/>
  <c r="D93"/>
  <c r="F98"/>
  <c r="Q98"/>
  <c r="T98"/>
  <c r="V98"/>
  <c r="X98"/>
  <c r="D96"/>
  <c r="P94"/>
  <c r="K97"/>
  <c r="D97" s="1"/>
  <c r="D104"/>
  <c r="D108"/>
  <c r="D112"/>
  <c r="D116"/>
  <c r="D120"/>
  <c r="D124"/>
  <c r="H34" i="36"/>
  <c r="G34" s="1"/>
  <c r="E34" s="1"/>
  <c r="F34" s="1"/>
  <c r="H28"/>
  <c r="G28" s="1"/>
  <c r="E28" s="1"/>
  <c r="F28" s="1"/>
  <c r="H26"/>
  <c r="G26" s="1"/>
  <c r="E26" s="1"/>
  <c r="F26" s="1"/>
  <c r="H24"/>
  <c r="G24" s="1"/>
  <c r="E24" s="1"/>
  <c r="F24" s="1"/>
  <c r="M98" i="37"/>
  <c r="N98"/>
  <c r="R98"/>
  <c r="W98"/>
  <c r="D73"/>
  <c r="D74"/>
  <c r="D75"/>
  <c r="D79"/>
  <c r="D85"/>
  <c r="E98"/>
  <c r="G98"/>
  <c r="P98"/>
  <c r="I23"/>
  <c r="I72"/>
  <c r="D94"/>
  <c r="D82" l="1"/>
  <c r="D80"/>
  <c r="K98"/>
  <c r="M100" s="1"/>
  <c r="H23"/>
  <c r="D72"/>
  <c r="H72"/>
  <c r="I13"/>
  <c r="I98" s="1"/>
  <c r="H13" l="1"/>
  <c r="D23"/>
  <c r="D13" l="1"/>
  <c r="D98" s="1"/>
  <c r="E99" s="1"/>
  <c r="J100" s="1"/>
  <c r="H98"/>
  <c r="W155" i="35" l="1"/>
  <c r="U155"/>
  <c r="R155"/>
  <c r="P155"/>
  <c r="N155"/>
  <c r="D155" s="1"/>
  <c r="W154"/>
  <c r="U154"/>
  <c r="R154"/>
  <c r="P154"/>
  <c r="N154"/>
  <c r="W153"/>
  <c r="U153"/>
  <c r="R153"/>
  <c r="P153"/>
  <c r="N153"/>
  <c r="D153" s="1"/>
  <c r="W152"/>
  <c r="U152"/>
  <c r="R152"/>
  <c r="P152"/>
  <c r="N152"/>
  <c r="W151"/>
  <c r="U151"/>
  <c r="R151"/>
  <c r="P151"/>
  <c r="N151"/>
  <c r="D151" s="1"/>
  <c r="W150"/>
  <c r="U150"/>
  <c r="R150"/>
  <c r="P150"/>
  <c r="N150"/>
  <c r="W149"/>
  <c r="U149"/>
  <c r="R149"/>
  <c r="P149"/>
  <c r="N149"/>
  <c r="W148"/>
  <c r="U148"/>
  <c r="R148"/>
  <c r="P148"/>
  <c r="N148"/>
  <c r="W147"/>
  <c r="U147"/>
  <c r="R147"/>
  <c r="P147"/>
  <c r="N147"/>
  <c r="W146"/>
  <c r="U146"/>
  <c r="R146"/>
  <c r="P146"/>
  <c r="N146"/>
  <c r="W145"/>
  <c r="U145"/>
  <c r="R145"/>
  <c r="P145"/>
  <c r="N145"/>
  <c r="D145" s="1"/>
  <c r="W144"/>
  <c r="U144"/>
  <c r="R144"/>
  <c r="P144"/>
  <c r="N144"/>
  <c r="W143"/>
  <c r="U143"/>
  <c r="R143"/>
  <c r="P143"/>
  <c r="N143"/>
  <c r="D143" s="1"/>
  <c r="W142"/>
  <c r="U142"/>
  <c r="R142"/>
  <c r="P142"/>
  <c r="N142"/>
  <c r="W141"/>
  <c r="W139" s="1"/>
  <c r="U141"/>
  <c r="R141"/>
  <c r="P141"/>
  <c r="N141"/>
  <c r="W140"/>
  <c r="W138" s="1"/>
  <c r="U140"/>
  <c r="R140"/>
  <c r="P140"/>
  <c r="N140"/>
  <c r="X139"/>
  <c r="V139"/>
  <c r="U139"/>
  <c r="T139"/>
  <c r="S139"/>
  <c r="Q139"/>
  <c r="P139"/>
  <c r="O139"/>
  <c r="X138"/>
  <c r="V138"/>
  <c r="T138"/>
  <c r="S138"/>
  <c r="Q138"/>
  <c r="O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E127" s="1"/>
  <c r="W128"/>
  <c r="U128"/>
  <c r="R128"/>
  <c r="P128"/>
  <c r="N128"/>
  <c r="K128"/>
  <c r="H128"/>
  <c r="E128"/>
  <c r="X127"/>
  <c r="W127" s="1"/>
  <c r="V127"/>
  <c r="U127" s="1"/>
  <c r="T127"/>
  <c r="S127"/>
  <c r="Q127"/>
  <c r="P127" s="1"/>
  <c r="O127"/>
  <c r="N127" s="1"/>
  <c r="M127"/>
  <c r="L127"/>
  <c r="J127"/>
  <c r="I127"/>
  <c r="G127"/>
  <c r="F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101"/>
  <c r="U101"/>
  <c r="R101"/>
  <c r="P101"/>
  <c r="N101"/>
  <c r="K101"/>
  <c r="H101"/>
  <c r="E101"/>
  <c r="W96"/>
  <c r="U96"/>
  <c r="R96"/>
  <c r="P96"/>
  <c r="N96"/>
  <c r="W95"/>
  <c r="U95"/>
  <c r="R95"/>
  <c r="P95"/>
  <c r="N95"/>
  <c r="W94"/>
  <c r="W93" s="1"/>
  <c r="U94"/>
  <c r="R94"/>
  <c r="R93" s="1"/>
  <c r="P94"/>
  <c r="N94"/>
  <c r="N93" s="1"/>
  <c r="X93"/>
  <c r="V93"/>
  <c r="T93"/>
  <c r="S93"/>
  <c r="Q93"/>
  <c r="O93"/>
  <c r="J93"/>
  <c r="G93"/>
  <c r="F93"/>
  <c r="E93" s="1"/>
  <c r="W92"/>
  <c r="U92"/>
  <c r="R92"/>
  <c r="P92"/>
  <c r="N92"/>
  <c r="W91"/>
  <c r="U91"/>
  <c r="R91"/>
  <c r="P91"/>
  <c r="N91"/>
  <c r="W90"/>
  <c r="U90"/>
  <c r="R90"/>
  <c r="P90"/>
  <c r="N90"/>
  <c r="W89"/>
  <c r="U89"/>
  <c r="R89"/>
  <c r="P89"/>
  <c r="N89"/>
  <c r="W88"/>
  <c r="U88"/>
  <c r="R88"/>
  <c r="P88"/>
  <c r="P86" s="1"/>
  <c r="N88"/>
  <c r="W87"/>
  <c r="U87"/>
  <c r="R87"/>
  <c r="P87"/>
  <c r="N87"/>
  <c r="X86"/>
  <c r="V86"/>
  <c r="T86"/>
  <c r="S86"/>
  <c r="Q86"/>
  <c r="O86"/>
  <c r="J86"/>
  <c r="G86"/>
  <c r="F86"/>
  <c r="W85"/>
  <c r="U85"/>
  <c r="R85"/>
  <c r="P85"/>
  <c r="N85"/>
  <c r="W84"/>
  <c r="U84"/>
  <c r="R84"/>
  <c r="P84"/>
  <c r="N84"/>
  <c r="W83"/>
  <c r="U83"/>
  <c r="R83"/>
  <c r="P83"/>
  <c r="N83"/>
  <c r="W82"/>
  <c r="U82"/>
  <c r="R82"/>
  <c r="P82"/>
  <c r="N82"/>
  <c r="W81"/>
  <c r="U81"/>
  <c r="R81"/>
  <c r="P81"/>
  <c r="N81"/>
  <c r="W80"/>
  <c r="U80"/>
  <c r="R80"/>
  <c r="P80"/>
  <c r="N80"/>
  <c r="W79"/>
  <c r="U79"/>
  <c r="R79"/>
  <c r="P79"/>
  <c r="N79"/>
  <c r="W78"/>
  <c r="U78"/>
  <c r="R78"/>
  <c r="P78"/>
  <c r="N78"/>
  <c r="W77"/>
  <c r="U77"/>
  <c r="R77"/>
  <c r="P77"/>
  <c r="N77"/>
  <c r="W76"/>
  <c r="U76"/>
  <c r="R76"/>
  <c r="P76"/>
  <c r="N76"/>
  <c r="W75"/>
  <c r="W73" s="1"/>
  <c r="W71" s="1"/>
  <c r="U75"/>
  <c r="R75"/>
  <c r="P75"/>
  <c r="P73" s="1"/>
  <c r="P71" s="1"/>
  <c r="N75"/>
  <c r="N73" s="1"/>
  <c r="N71" s="1"/>
  <c r="W74"/>
  <c r="U74"/>
  <c r="U72" s="1"/>
  <c r="R74"/>
  <c r="R72" s="1"/>
  <c r="P74"/>
  <c r="N74"/>
  <c r="X73"/>
  <c r="X71" s="1"/>
  <c r="V73"/>
  <c r="V71" s="1"/>
  <c r="T73"/>
  <c r="S73"/>
  <c r="R73"/>
  <c r="R71" s="1"/>
  <c r="Q73"/>
  <c r="Q71" s="1"/>
  <c r="O73"/>
  <c r="O71" s="1"/>
  <c r="J71"/>
  <c r="G73"/>
  <c r="F73"/>
  <c r="X72"/>
  <c r="W72"/>
  <c r="V72"/>
  <c r="T72"/>
  <c r="S72"/>
  <c r="Q72"/>
  <c r="O72"/>
  <c r="G72"/>
  <c r="F72"/>
  <c r="T71"/>
  <c r="S71"/>
  <c r="W70"/>
  <c r="U70"/>
  <c r="R70"/>
  <c r="P70"/>
  <c r="N70"/>
  <c r="W69"/>
  <c r="U69"/>
  <c r="R69"/>
  <c r="P69"/>
  <c r="N69"/>
  <c r="W68"/>
  <c r="U68"/>
  <c r="R68"/>
  <c r="P68"/>
  <c r="N68"/>
  <c r="W67"/>
  <c r="U67"/>
  <c r="R67"/>
  <c r="P67"/>
  <c r="N67"/>
  <c r="W66"/>
  <c r="U66"/>
  <c r="R66"/>
  <c r="P66"/>
  <c r="N66"/>
  <c r="W65"/>
  <c r="U65"/>
  <c r="R65"/>
  <c r="P65"/>
  <c r="N65"/>
  <c r="W64"/>
  <c r="U64"/>
  <c r="R64"/>
  <c r="P64"/>
  <c r="N64"/>
  <c r="W63"/>
  <c r="U63"/>
  <c r="R63"/>
  <c r="P63"/>
  <c r="N63"/>
  <c r="W62"/>
  <c r="U62"/>
  <c r="R62"/>
  <c r="P62"/>
  <c r="N62"/>
  <c r="W61"/>
  <c r="U61"/>
  <c r="R61"/>
  <c r="P61"/>
  <c r="N61"/>
  <c r="W60"/>
  <c r="U60"/>
  <c r="R60"/>
  <c r="P60"/>
  <c r="N60"/>
  <c r="W59"/>
  <c r="U59"/>
  <c r="R59"/>
  <c r="P59"/>
  <c r="N59"/>
  <c r="W58"/>
  <c r="U58"/>
  <c r="R58"/>
  <c r="P58"/>
  <c r="N58"/>
  <c r="W57"/>
  <c r="U57"/>
  <c r="R57"/>
  <c r="P57"/>
  <c r="N57"/>
  <c r="D57"/>
  <c r="W56"/>
  <c r="U56"/>
  <c r="R56"/>
  <c r="P56"/>
  <c r="N56"/>
  <c r="D56"/>
  <c r="W55"/>
  <c r="U55"/>
  <c r="R55"/>
  <c r="P55"/>
  <c r="N55"/>
  <c r="D55"/>
  <c r="W54"/>
  <c r="U54"/>
  <c r="R54"/>
  <c r="P54"/>
  <c r="N54"/>
  <c r="D54"/>
  <c r="W53"/>
  <c r="U53"/>
  <c r="R53"/>
  <c r="P53"/>
  <c r="N53"/>
  <c r="W52"/>
  <c r="U52"/>
  <c r="R52"/>
  <c r="P52"/>
  <c r="N52"/>
  <c r="W51"/>
  <c r="U51"/>
  <c r="R51"/>
  <c r="P51"/>
  <c r="N51"/>
  <c r="W50"/>
  <c r="U50"/>
  <c r="R50"/>
  <c r="P50"/>
  <c r="N50"/>
  <c r="D99"/>
  <c r="W49"/>
  <c r="U49"/>
  <c r="R49"/>
  <c r="P49"/>
  <c r="N49"/>
  <c r="D49"/>
  <c r="W48"/>
  <c r="U48"/>
  <c r="R48"/>
  <c r="P48"/>
  <c r="N48"/>
  <c r="D48"/>
  <c r="W47"/>
  <c r="U47"/>
  <c r="R47"/>
  <c r="P47"/>
  <c r="N47"/>
  <c r="D47"/>
  <c r="W46"/>
  <c r="U46"/>
  <c r="R46"/>
  <c r="P46"/>
  <c r="N46"/>
  <c r="D46"/>
  <c r="W45"/>
  <c r="U45"/>
  <c r="R45"/>
  <c r="P45"/>
  <c r="N45"/>
  <c r="W44"/>
  <c r="U44"/>
  <c r="R44"/>
  <c r="P44"/>
  <c r="N44"/>
  <c r="W43"/>
  <c r="U43"/>
  <c r="R43"/>
  <c r="P43"/>
  <c r="N43"/>
  <c r="U42"/>
  <c r="R42"/>
  <c r="P42"/>
  <c r="N42"/>
  <c r="U41"/>
  <c r="R41"/>
  <c r="P41"/>
  <c r="N41"/>
  <c r="U40"/>
  <c r="R40"/>
  <c r="P40"/>
  <c r="N40"/>
  <c r="U39"/>
  <c r="R39"/>
  <c r="P39"/>
  <c r="N39"/>
  <c r="W38"/>
  <c r="U38"/>
  <c r="R38"/>
  <c r="P38"/>
  <c r="N38"/>
  <c r="W37"/>
  <c r="U37"/>
  <c r="R37"/>
  <c r="P37"/>
  <c r="N37"/>
  <c r="W36"/>
  <c r="U36"/>
  <c r="R36"/>
  <c r="P36"/>
  <c r="N36"/>
  <c r="W35"/>
  <c r="U35"/>
  <c r="R35"/>
  <c r="P35"/>
  <c r="N35"/>
  <c r="W34"/>
  <c r="U34"/>
  <c r="R34"/>
  <c r="P34"/>
  <c r="N34"/>
  <c r="W33"/>
  <c r="U33"/>
  <c r="R33"/>
  <c r="P33"/>
  <c r="W32"/>
  <c r="U32"/>
  <c r="R32"/>
  <c r="P32"/>
  <c r="W31"/>
  <c r="U31"/>
  <c r="R31"/>
  <c r="P31"/>
  <c r="N31"/>
  <c r="W30"/>
  <c r="U30"/>
  <c r="R30"/>
  <c r="P30"/>
  <c r="N30"/>
  <c r="W29"/>
  <c r="U29"/>
  <c r="R29"/>
  <c r="P29"/>
  <c r="N29"/>
  <c r="D29"/>
  <c r="W28"/>
  <c r="U28"/>
  <c r="R28"/>
  <c r="P28"/>
  <c r="N28"/>
  <c r="W27"/>
  <c r="U27"/>
  <c r="R27"/>
  <c r="P27"/>
  <c r="N27"/>
  <c r="W26"/>
  <c r="U26"/>
  <c r="R26"/>
  <c r="P26"/>
  <c r="N26"/>
  <c r="W25"/>
  <c r="U25"/>
  <c r="R25"/>
  <c r="P25"/>
  <c r="N25"/>
  <c r="W24"/>
  <c r="U24"/>
  <c r="R24"/>
  <c r="P24"/>
  <c r="N24"/>
  <c r="W23"/>
  <c r="U23"/>
  <c r="R23"/>
  <c r="P23"/>
  <c r="N23"/>
  <c r="D23"/>
  <c r="W22"/>
  <c r="U22"/>
  <c r="R22"/>
  <c r="P22"/>
  <c r="N22"/>
  <c r="W21"/>
  <c r="U21"/>
  <c r="R21"/>
  <c r="P21"/>
  <c r="N21"/>
  <c r="D21"/>
  <c r="W20"/>
  <c r="U20"/>
  <c r="R20"/>
  <c r="P20"/>
  <c r="N20"/>
  <c r="W19"/>
  <c r="U19"/>
  <c r="R19"/>
  <c r="P19"/>
  <c r="N19"/>
  <c r="W18"/>
  <c r="U18"/>
  <c r="R18"/>
  <c r="P18"/>
  <c r="N18"/>
  <c r="W17"/>
  <c r="U17"/>
  <c r="U15" s="1"/>
  <c r="R17"/>
  <c r="P17"/>
  <c r="P15" s="1"/>
  <c r="N17"/>
  <c r="W16"/>
  <c r="W14" s="1"/>
  <c r="U16"/>
  <c r="R16"/>
  <c r="R14" s="1"/>
  <c r="P16"/>
  <c r="N16"/>
  <c r="N14" s="1"/>
  <c r="X15"/>
  <c r="V15"/>
  <c r="T15"/>
  <c r="S15"/>
  <c r="Q15"/>
  <c r="O15"/>
  <c r="J12"/>
  <c r="G15"/>
  <c r="F15"/>
  <c r="X14"/>
  <c r="V14"/>
  <c r="T14"/>
  <c r="S14"/>
  <c r="Q14"/>
  <c r="O14"/>
  <c r="G14"/>
  <c r="F14"/>
  <c r="I97" i="34"/>
  <c r="W156"/>
  <c r="U156"/>
  <c r="R156"/>
  <c r="P156"/>
  <c r="N156"/>
  <c r="K156"/>
  <c r="E156"/>
  <c r="W155"/>
  <c r="U155"/>
  <c r="R155"/>
  <c r="P155"/>
  <c r="N155"/>
  <c r="K155"/>
  <c r="E155"/>
  <c r="D155" s="1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D152" s="1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D146"/>
  <c r="W145"/>
  <c r="U145"/>
  <c r="R145"/>
  <c r="P145"/>
  <c r="N145"/>
  <c r="K145"/>
  <c r="E145"/>
  <c r="D145"/>
  <c r="W144"/>
  <c r="U144"/>
  <c r="R144"/>
  <c r="P144"/>
  <c r="N144"/>
  <c r="K144"/>
  <c r="E144"/>
  <c r="D144"/>
  <c r="W143"/>
  <c r="U143"/>
  <c r="R143"/>
  <c r="P143"/>
  <c r="N143"/>
  <c r="K143"/>
  <c r="E143"/>
  <c r="D143"/>
  <c r="W142"/>
  <c r="U142"/>
  <c r="R142"/>
  <c r="R140" s="1"/>
  <c r="P142"/>
  <c r="P140" s="1"/>
  <c r="N142"/>
  <c r="K142"/>
  <c r="E142"/>
  <c r="E140" s="1"/>
  <c r="D142"/>
  <c r="W141"/>
  <c r="U141"/>
  <c r="R141"/>
  <c r="P141"/>
  <c r="N141"/>
  <c r="K141"/>
  <c r="E141"/>
  <c r="D141"/>
  <c r="X140"/>
  <c r="V140"/>
  <c r="T140"/>
  <c r="S140"/>
  <c r="Q140"/>
  <c r="O140"/>
  <c r="M140"/>
  <c r="L140"/>
  <c r="J140"/>
  <c r="G140"/>
  <c r="F140"/>
  <c r="X139"/>
  <c r="V139"/>
  <c r="U139"/>
  <c r="T139"/>
  <c r="S139"/>
  <c r="Q139"/>
  <c r="P139"/>
  <c r="O139"/>
  <c r="M139"/>
  <c r="L139"/>
  <c r="K139"/>
  <c r="D139" s="1"/>
  <c r="J139"/>
  <c r="G139"/>
  <c r="F139"/>
  <c r="E139"/>
  <c r="W138"/>
  <c r="U138"/>
  <c r="R138"/>
  <c r="P138"/>
  <c r="N138"/>
  <c r="K138"/>
  <c r="H138"/>
  <c r="E138"/>
  <c r="D138" s="1"/>
  <c r="W137"/>
  <c r="U137"/>
  <c r="R137"/>
  <c r="P137"/>
  <c r="N137"/>
  <c r="K137"/>
  <c r="H137"/>
  <c r="E137"/>
  <c r="D137" s="1"/>
  <c r="W136"/>
  <c r="U136"/>
  <c r="R136"/>
  <c r="P136"/>
  <c r="N136"/>
  <c r="K136"/>
  <c r="H136"/>
  <c r="E136"/>
  <c r="D136" s="1"/>
  <c r="W135"/>
  <c r="U135"/>
  <c r="R135"/>
  <c r="P135"/>
  <c r="N135"/>
  <c r="K135"/>
  <c r="H135"/>
  <c r="E135"/>
  <c r="W134"/>
  <c r="U134"/>
  <c r="R134"/>
  <c r="P134"/>
  <c r="N134"/>
  <c r="K134"/>
  <c r="H134"/>
  <c r="E134"/>
  <c r="D134" s="1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D130" s="1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H128" s="1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D100"/>
  <c r="W97"/>
  <c r="U97"/>
  <c r="R97"/>
  <c r="P97"/>
  <c r="N97"/>
  <c r="K97"/>
  <c r="H97"/>
  <c r="I100" s="1"/>
  <c r="E97"/>
  <c r="D97"/>
  <c r="W96"/>
  <c r="U96"/>
  <c r="R96"/>
  <c r="P96"/>
  <c r="N96"/>
  <c r="K96"/>
  <c r="H96"/>
  <c r="E96"/>
  <c r="W95"/>
  <c r="U95"/>
  <c r="U94" s="1"/>
  <c r="R95"/>
  <c r="R94" s="1"/>
  <c r="P95"/>
  <c r="N95"/>
  <c r="N94" s="1"/>
  <c r="K95"/>
  <c r="H95"/>
  <c r="E95"/>
  <c r="E94" s="1"/>
  <c r="X94"/>
  <c r="W94"/>
  <c r="V94"/>
  <c r="T94"/>
  <c r="S94"/>
  <c r="Q94"/>
  <c r="O94"/>
  <c r="M94"/>
  <c r="K94" s="1"/>
  <c r="L94"/>
  <c r="J94"/>
  <c r="H93" s="1"/>
  <c r="I94"/>
  <c r="G94"/>
  <c r="F94"/>
  <c r="W93"/>
  <c r="U93"/>
  <c r="R93"/>
  <c r="P93"/>
  <c r="N93"/>
  <c r="K93"/>
  <c r="E93"/>
  <c r="W92"/>
  <c r="U92"/>
  <c r="R92"/>
  <c r="P92"/>
  <c r="N92"/>
  <c r="K92"/>
  <c r="H92"/>
  <c r="E92"/>
  <c r="W91"/>
  <c r="U91"/>
  <c r="R91"/>
  <c r="P91"/>
  <c r="N91"/>
  <c r="K91"/>
  <c r="H91"/>
  <c r="E91"/>
  <c r="W90"/>
  <c r="U90"/>
  <c r="R90"/>
  <c r="P90"/>
  <c r="N90"/>
  <c r="K90"/>
  <c r="H90"/>
  <c r="W89"/>
  <c r="W87" s="1"/>
  <c r="U89"/>
  <c r="R89"/>
  <c r="P89"/>
  <c r="N89"/>
  <c r="K89"/>
  <c r="H89"/>
  <c r="E89"/>
  <c r="W88"/>
  <c r="U88"/>
  <c r="R88"/>
  <c r="P88"/>
  <c r="N88"/>
  <c r="K88"/>
  <c r="H88"/>
  <c r="D88" s="1"/>
  <c r="E88"/>
  <c r="X87"/>
  <c r="V87"/>
  <c r="T87"/>
  <c r="S87"/>
  <c r="Q87"/>
  <c r="O87"/>
  <c r="M87"/>
  <c r="L87"/>
  <c r="J87"/>
  <c r="I87"/>
  <c r="G87"/>
  <c r="F87"/>
  <c r="W86"/>
  <c r="U86"/>
  <c r="R86"/>
  <c r="P86"/>
  <c r="N86"/>
  <c r="K86"/>
  <c r="H86"/>
  <c r="E86"/>
  <c r="W85"/>
  <c r="U85"/>
  <c r="R85"/>
  <c r="P85"/>
  <c r="N85"/>
  <c r="K85"/>
  <c r="H85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J82"/>
  <c r="E82"/>
  <c r="W81"/>
  <c r="U81"/>
  <c r="R81"/>
  <c r="P81"/>
  <c r="N81"/>
  <c r="K81"/>
  <c r="I81"/>
  <c r="I82" s="1"/>
  <c r="H82" s="1"/>
  <c r="E81"/>
  <c r="W80"/>
  <c r="U80"/>
  <c r="R80"/>
  <c r="P80"/>
  <c r="N80"/>
  <c r="K80"/>
  <c r="J80"/>
  <c r="E80"/>
  <c r="W79"/>
  <c r="U79"/>
  <c r="R79"/>
  <c r="P79"/>
  <c r="N79"/>
  <c r="K79"/>
  <c r="I79"/>
  <c r="H79" s="1"/>
  <c r="E79"/>
  <c r="W78"/>
  <c r="U78"/>
  <c r="R78"/>
  <c r="P78"/>
  <c r="N78"/>
  <c r="K78"/>
  <c r="J78"/>
  <c r="E78"/>
  <c r="W77"/>
  <c r="U77"/>
  <c r="R77"/>
  <c r="P77"/>
  <c r="N77"/>
  <c r="K77"/>
  <c r="I77"/>
  <c r="I78" s="1"/>
  <c r="H78" s="1"/>
  <c r="E77"/>
  <c r="W76"/>
  <c r="U76"/>
  <c r="U74" s="1"/>
  <c r="R76"/>
  <c r="R74" s="1"/>
  <c r="R72" s="1"/>
  <c r="P76"/>
  <c r="P74" s="1"/>
  <c r="P72" s="1"/>
  <c r="N76"/>
  <c r="N74" s="1"/>
  <c r="N72" s="1"/>
  <c r="K76"/>
  <c r="J76"/>
  <c r="J74" s="1"/>
  <c r="J72" s="1"/>
  <c r="E76"/>
  <c r="E74" s="1"/>
  <c r="E72" s="1"/>
  <c r="W75"/>
  <c r="W73" s="1"/>
  <c r="U75"/>
  <c r="R75"/>
  <c r="R73" s="1"/>
  <c r="P75"/>
  <c r="N75"/>
  <c r="N73" s="1"/>
  <c r="K75"/>
  <c r="I75"/>
  <c r="H75" s="1"/>
  <c r="E75"/>
  <c r="E73" s="1"/>
  <c r="X74"/>
  <c r="X72" s="1"/>
  <c r="V74"/>
  <c r="V72" s="1"/>
  <c r="T74"/>
  <c r="S74"/>
  <c r="S72" s="1"/>
  <c r="Q74"/>
  <c r="Q72" s="1"/>
  <c r="O74"/>
  <c r="O72" s="1"/>
  <c r="M74"/>
  <c r="M72" s="1"/>
  <c r="L74"/>
  <c r="G74"/>
  <c r="G72" s="1"/>
  <c r="F74"/>
  <c r="F72" s="1"/>
  <c r="X73"/>
  <c r="V73"/>
  <c r="U73"/>
  <c r="T73"/>
  <c r="S73"/>
  <c r="Q73"/>
  <c r="O73"/>
  <c r="M73"/>
  <c r="L73"/>
  <c r="J73"/>
  <c r="I73"/>
  <c r="G73"/>
  <c r="F73"/>
  <c r="T72"/>
  <c r="L72"/>
  <c r="W71"/>
  <c r="U71"/>
  <c r="R71"/>
  <c r="P71"/>
  <c r="N71"/>
  <c r="K71"/>
  <c r="I71"/>
  <c r="H71" s="1"/>
  <c r="D71" s="1"/>
  <c r="W70"/>
  <c r="U70"/>
  <c r="R70"/>
  <c r="P70"/>
  <c r="N70"/>
  <c r="K70"/>
  <c r="W69"/>
  <c r="U69"/>
  <c r="R69"/>
  <c r="P69"/>
  <c r="N69"/>
  <c r="K69"/>
  <c r="H69"/>
  <c r="D69"/>
  <c r="W68"/>
  <c r="U68"/>
  <c r="R68"/>
  <c r="P68"/>
  <c r="N68"/>
  <c r="K68"/>
  <c r="H68"/>
  <c r="D68"/>
  <c r="W67"/>
  <c r="U67"/>
  <c r="R67"/>
  <c r="P67"/>
  <c r="N67"/>
  <c r="K67"/>
  <c r="I67"/>
  <c r="H67" s="1"/>
  <c r="W66"/>
  <c r="U66"/>
  <c r="R66"/>
  <c r="P66"/>
  <c r="N66"/>
  <c r="K66"/>
  <c r="H66"/>
  <c r="D66" s="1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D62" s="1"/>
  <c r="W61"/>
  <c r="U61"/>
  <c r="R61"/>
  <c r="P61"/>
  <c r="N61"/>
  <c r="K61"/>
  <c r="H61"/>
  <c r="W60"/>
  <c r="U60"/>
  <c r="R60"/>
  <c r="P60"/>
  <c r="N60"/>
  <c r="K60"/>
  <c r="H60"/>
  <c r="D60" s="1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K57"/>
  <c r="H57"/>
  <c r="E57"/>
  <c r="W56"/>
  <c r="U56"/>
  <c r="R56"/>
  <c r="P56"/>
  <c r="N56"/>
  <c r="K56"/>
  <c r="H56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H51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I48"/>
  <c r="H48" s="1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D43" s="1"/>
  <c r="U42"/>
  <c r="R42"/>
  <c r="P42"/>
  <c r="N42"/>
  <c r="K42"/>
  <c r="H42"/>
  <c r="U41"/>
  <c r="R41"/>
  <c r="P41"/>
  <c r="N41"/>
  <c r="K41"/>
  <c r="I41"/>
  <c r="H41" s="1"/>
  <c r="D41" s="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K37"/>
  <c r="H37"/>
  <c r="E37"/>
  <c r="W36"/>
  <c r="U36"/>
  <c r="R36"/>
  <c r="P36"/>
  <c r="N36"/>
  <c r="K36"/>
  <c r="H36"/>
  <c r="E36"/>
  <c r="W35"/>
  <c r="U35"/>
  <c r="R35"/>
  <c r="P35"/>
  <c r="N35"/>
  <c r="K35"/>
  <c r="H35"/>
  <c r="E35"/>
  <c r="W34"/>
  <c r="U34"/>
  <c r="R34"/>
  <c r="P34"/>
  <c r="K34"/>
  <c r="H34"/>
  <c r="D34" s="1"/>
  <c r="E34"/>
  <c r="W33"/>
  <c r="U33"/>
  <c r="R33"/>
  <c r="P33"/>
  <c r="K33"/>
  <c r="H33"/>
  <c r="E33"/>
  <c r="W32"/>
  <c r="U32"/>
  <c r="R32"/>
  <c r="P32"/>
  <c r="N32"/>
  <c r="K32"/>
  <c r="H32"/>
  <c r="W31"/>
  <c r="U31"/>
  <c r="R31"/>
  <c r="P31"/>
  <c r="N31"/>
  <c r="K31"/>
  <c r="H31"/>
  <c r="D31" s="1"/>
  <c r="W30"/>
  <c r="U30"/>
  <c r="R30"/>
  <c r="P30"/>
  <c r="N30"/>
  <c r="K30"/>
  <c r="H30"/>
  <c r="W29"/>
  <c r="U29"/>
  <c r="R29"/>
  <c r="P29"/>
  <c r="N29"/>
  <c r="K29"/>
  <c r="H29"/>
  <c r="D29" s="1"/>
  <c r="W28"/>
  <c r="U28"/>
  <c r="R28"/>
  <c r="P28"/>
  <c r="N28"/>
  <c r="K28"/>
  <c r="H28"/>
  <c r="D28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D24" s="1"/>
  <c r="W23"/>
  <c r="U23"/>
  <c r="R23"/>
  <c r="P23"/>
  <c r="N23"/>
  <c r="M23"/>
  <c r="L23"/>
  <c r="J23"/>
  <c r="I23"/>
  <c r="W22"/>
  <c r="U22"/>
  <c r="R22"/>
  <c r="P22"/>
  <c r="N22"/>
  <c r="K22"/>
  <c r="H22"/>
  <c r="W21"/>
  <c r="U21"/>
  <c r="R21"/>
  <c r="P21"/>
  <c r="N21"/>
  <c r="K21"/>
  <c r="H21"/>
  <c r="W20"/>
  <c r="U20"/>
  <c r="R20"/>
  <c r="P20"/>
  <c r="N20"/>
  <c r="K20"/>
  <c r="H20"/>
  <c r="E20"/>
  <c r="W19"/>
  <c r="U19"/>
  <c r="R19"/>
  <c r="P19"/>
  <c r="N19"/>
  <c r="K19"/>
  <c r="H19"/>
  <c r="E19"/>
  <c r="W18"/>
  <c r="W16" s="1"/>
  <c r="U18"/>
  <c r="R18"/>
  <c r="R16" s="1"/>
  <c r="P18"/>
  <c r="P16" s="1"/>
  <c r="N18"/>
  <c r="N16" s="1"/>
  <c r="K18"/>
  <c r="H18"/>
  <c r="E18"/>
  <c r="E16" s="1"/>
  <c r="W17"/>
  <c r="W15" s="1"/>
  <c r="U17"/>
  <c r="R17"/>
  <c r="P17"/>
  <c r="P15" s="1"/>
  <c r="N17"/>
  <c r="N15" s="1"/>
  <c r="K17"/>
  <c r="H17"/>
  <c r="E17"/>
  <c r="E15" s="1"/>
  <c r="X16"/>
  <c r="V16"/>
  <c r="T16"/>
  <c r="S16"/>
  <c r="Q16"/>
  <c r="O16"/>
  <c r="M16"/>
  <c r="L16"/>
  <c r="J16"/>
  <c r="J13" s="1"/>
  <c r="I16"/>
  <c r="G16"/>
  <c r="G13" s="1"/>
  <c r="F16"/>
  <c r="F13" s="1"/>
  <c r="X15"/>
  <c r="V15"/>
  <c r="T15"/>
  <c r="S15"/>
  <c r="R15"/>
  <c r="Q15"/>
  <c r="O15"/>
  <c r="M15"/>
  <c r="L15"/>
  <c r="J15"/>
  <c r="I15"/>
  <c r="G15"/>
  <c r="F15"/>
  <c r="K14"/>
  <c r="H14"/>
  <c r="I24" i="3"/>
  <c r="I26"/>
  <c r="I27"/>
  <c r="I28"/>
  <c r="I29"/>
  <c r="I30"/>
  <c r="I31"/>
  <c r="I32"/>
  <c r="I33"/>
  <c r="I34"/>
  <c r="H24"/>
  <c r="H26"/>
  <c r="G26" s="1"/>
  <c r="H27"/>
  <c r="H28"/>
  <c r="H29"/>
  <c r="H30"/>
  <c r="G30" s="1"/>
  <c r="H31"/>
  <c r="H32"/>
  <c r="H33"/>
  <c r="H34"/>
  <c r="G34" s="1"/>
  <c r="F16"/>
  <c r="F17"/>
  <c r="F18"/>
  <c r="F19"/>
  <c r="F20"/>
  <c r="F21"/>
  <c r="F22"/>
  <c r="F24"/>
  <c r="F25"/>
  <c r="F26"/>
  <c r="F27"/>
  <c r="F28"/>
  <c r="F29"/>
  <c r="F34"/>
  <c r="F35"/>
  <c r="F36"/>
  <c r="F37"/>
  <c r="F38"/>
  <c r="F39"/>
  <c r="F40"/>
  <c r="F41"/>
  <c r="F42"/>
  <c r="F43"/>
  <c r="F44"/>
  <c r="F45"/>
  <c r="F46"/>
  <c r="F47"/>
  <c r="F50"/>
  <c r="F51"/>
  <c r="F52"/>
  <c r="F53"/>
  <c r="F54"/>
  <c r="F55"/>
  <c r="F56"/>
  <c r="F57"/>
  <c r="F58"/>
  <c r="F59"/>
  <c r="F60"/>
  <c r="F61"/>
  <c r="F68"/>
  <c r="F69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9"/>
  <c r="F100"/>
  <c r="F15"/>
  <c r="I154" i="31"/>
  <c r="I91"/>
  <c r="I90"/>
  <c r="I84"/>
  <c r="I83"/>
  <c r="I82"/>
  <c r="I81"/>
  <c r="I80"/>
  <c r="I79"/>
  <c r="L91"/>
  <c r="L90"/>
  <c r="L78"/>
  <c r="L77"/>
  <c r="I78"/>
  <c r="I77"/>
  <c r="I93"/>
  <c r="I92"/>
  <c r="I34"/>
  <c r="I33"/>
  <c r="I89"/>
  <c r="I88"/>
  <c r="E13" i="34" l="1"/>
  <c r="P93" i="35"/>
  <c r="G12"/>
  <c r="F71"/>
  <c r="E73"/>
  <c r="E86"/>
  <c r="E14"/>
  <c r="F12"/>
  <c r="E15"/>
  <c r="E12" s="1"/>
  <c r="E72"/>
  <c r="G71"/>
  <c r="D142"/>
  <c r="D144"/>
  <c r="D148"/>
  <c r="D150"/>
  <c r="D152"/>
  <c r="D154"/>
  <c r="N138"/>
  <c r="D140"/>
  <c r="N139"/>
  <c r="D141"/>
  <c r="D149"/>
  <c r="D66"/>
  <c r="D68"/>
  <c r="K16" i="34"/>
  <c r="D88" i="35"/>
  <c r="D62"/>
  <c r="H15" i="34"/>
  <c r="D17"/>
  <c r="U140"/>
  <c r="W139"/>
  <c r="R15" i="35"/>
  <c r="D70"/>
  <c r="P72"/>
  <c r="D21" i="34"/>
  <c r="K23"/>
  <c r="D27"/>
  <c r="D33"/>
  <c r="D46"/>
  <c r="D53"/>
  <c r="D57"/>
  <c r="D59"/>
  <c r="D63"/>
  <c r="D67"/>
  <c r="K87"/>
  <c r="D91"/>
  <c r="U87"/>
  <c r="H94"/>
  <c r="D110"/>
  <c r="D120"/>
  <c r="N140"/>
  <c r="W140"/>
  <c r="N72" i="35"/>
  <c r="D49" i="34"/>
  <c r="D52"/>
  <c r="D56"/>
  <c r="X98"/>
  <c r="P87"/>
  <c r="D114"/>
  <c r="D151"/>
  <c r="G33" i="3"/>
  <c r="G29"/>
  <c r="G24"/>
  <c r="D18" i="34"/>
  <c r="D19"/>
  <c r="U15"/>
  <c r="D20"/>
  <c r="U16"/>
  <c r="D84"/>
  <c r="D93"/>
  <c r="D106"/>
  <c r="D108"/>
  <c r="D109"/>
  <c r="D150"/>
  <c r="D50" i="35"/>
  <c r="S97"/>
  <c r="U86"/>
  <c r="E87" i="34"/>
  <c r="I13"/>
  <c r="H13" s="1"/>
  <c r="D55"/>
  <c r="L13"/>
  <c r="H16"/>
  <c r="M13"/>
  <c r="M98" s="1"/>
  <c r="D22"/>
  <c r="D25"/>
  <c r="D30"/>
  <c r="D35"/>
  <c r="D37"/>
  <c r="D44"/>
  <c r="K73"/>
  <c r="D102"/>
  <c r="R128"/>
  <c r="D129"/>
  <c r="D149"/>
  <c r="O97" i="35"/>
  <c r="N86"/>
  <c r="N97" s="1"/>
  <c r="W86"/>
  <c r="D105"/>
  <c r="D109"/>
  <c r="D114"/>
  <c r="D122"/>
  <c r="K127"/>
  <c r="D133"/>
  <c r="D136"/>
  <c r="D137"/>
  <c r="D125"/>
  <c r="N15"/>
  <c r="W15"/>
  <c r="D113"/>
  <c r="D101"/>
  <c r="P14"/>
  <c r="U14"/>
  <c r="D24"/>
  <c r="D26"/>
  <c r="D30"/>
  <c r="D59"/>
  <c r="D61"/>
  <c r="D65"/>
  <c r="D67"/>
  <c r="D115"/>
  <c r="D34"/>
  <c r="D58"/>
  <c r="D92"/>
  <c r="D20"/>
  <c r="D36"/>
  <c r="D37"/>
  <c r="D38"/>
  <c r="D63"/>
  <c r="D69"/>
  <c r="V97"/>
  <c r="D94"/>
  <c r="D95"/>
  <c r="D103"/>
  <c r="D104"/>
  <c r="D107"/>
  <c r="D117"/>
  <c r="D121"/>
  <c r="R127"/>
  <c r="D129"/>
  <c r="D13"/>
  <c r="D25"/>
  <c r="D27"/>
  <c r="G97"/>
  <c r="U73"/>
  <c r="U71" s="1"/>
  <c r="R86"/>
  <c r="R97" s="1"/>
  <c r="D91"/>
  <c r="W97"/>
  <c r="D102"/>
  <c r="D106"/>
  <c r="D108"/>
  <c r="D111"/>
  <c r="D116"/>
  <c r="D119"/>
  <c r="D124"/>
  <c r="H127"/>
  <c r="D128"/>
  <c r="D134"/>
  <c r="U138"/>
  <c r="D22"/>
  <c r="D28"/>
  <c r="D60"/>
  <c r="D64"/>
  <c r="F97"/>
  <c r="X97"/>
  <c r="P97"/>
  <c r="T97"/>
  <c r="U93"/>
  <c r="U97" s="1"/>
  <c r="D110"/>
  <c r="D118"/>
  <c r="D123"/>
  <c r="D126"/>
  <c r="D130"/>
  <c r="D132"/>
  <c r="D135"/>
  <c r="P138"/>
  <c r="D53"/>
  <c r="D90"/>
  <c r="D52"/>
  <c r="D87"/>
  <c r="D35"/>
  <c r="D51"/>
  <c r="D41"/>
  <c r="J97"/>
  <c r="H97" s="1"/>
  <c r="D45"/>
  <c r="D42"/>
  <c r="Q97"/>
  <c r="D89"/>
  <c r="R139"/>
  <c r="D112"/>
  <c r="D120"/>
  <c r="D131"/>
  <c r="R138"/>
  <c r="D36" i="34"/>
  <c r="D39"/>
  <c r="I70"/>
  <c r="H70" s="1"/>
  <c r="D70" s="1"/>
  <c r="K72"/>
  <c r="D94"/>
  <c r="D112"/>
  <c r="D113"/>
  <c r="D116"/>
  <c r="D117"/>
  <c r="D118"/>
  <c r="D119"/>
  <c r="R139"/>
  <c r="D154"/>
  <c r="G32" i="3"/>
  <c r="G28"/>
  <c r="D14" i="34"/>
  <c r="D40"/>
  <c r="D42"/>
  <c r="D51"/>
  <c r="T98"/>
  <c r="V98"/>
  <c r="U72"/>
  <c r="D86"/>
  <c r="D90"/>
  <c r="D95"/>
  <c r="D96"/>
  <c r="D124"/>
  <c r="D126"/>
  <c r="D127"/>
  <c r="E128"/>
  <c r="K140"/>
  <c r="D140" s="1"/>
  <c r="N139"/>
  <c r="D153"/>
  <c r="G31" i="3"/>
  <c r="G27"/>
  <c r="K15" i="34"/>
  <c r="D15" s="1"/>
  <c r="H23"/>
  <c r="D23" s="1"/>
  <c r="D26"/>
  <c r="D32"/>
  <c r="D48"/>
  <c r="D61"/>
  <c r="D65"/>
  <c r="D78"/>
  <c r="D79"/>
  <c r="D82"/>
  <c r="H87"/>
  <c r="D92"/>
  <c r="D104"/>
  <c r="D105"/>
  <c r="D122"/>
  <c r="D123"/>
  <c r="D132"/>
  <c r="D128" s="1"/>
  <c r="D133"/>
  <c r="D156"/>
  <c r="D38"/>
  <c r="D47"/>
  <c r="D64"/>
  <c r="F98"/>
  <c r="J98"/>
  <c r="H77"/>
  <c r="D77" s="1"/>
  <c r="P73"/>
  <c r="H81"/>
  <c r="D81" s="1"/>
  <c r="D83"/>
  <c r="Q98"/>
  <c r="P94"/>
  <c r="P98" s="1"/>
  <c r="D121"/>
  <c r="D125"/>
  <c r="K128"/>
  <c r="D131"/>
  <c r="D135"/>
  <c r="D45"/>
  <c r="D50"/>
  <c r="D54"/>
  <c r="D58"/>
  <c r="H73"/>
  <c r="D73" s="1"/>
  <c r="K74"/>
  <c r="D75"/>
  <c r="W74"/>
  <c r="W72" s="1"/>
  <c r="W98" s="1"/>
  <c r="D85"/>
  <c r="D89"/>
  <c r="N87"/>
  <c r="N98" s="1"/>
  <c r="R87"/>
  <c r="R98" s="1"/>
  <c r="G98"/>
  <c r="O98"/>
  <c r="S98"/>
  <c r="D103"/>
  <c r="D107"/>
  <c r="D111"/>
  <c r="D115"/>
  <c r="I76"/>
  <c r="I80"/>
  <c r="H80" s="1"/>
  <c r="D80" s="1"/>
  <c r="I76" i="31"/>
  <c r="I75"/>
  <c r="I97"/>
  <c r="I55"/>
  <c r="I54"/>
  <c r="L89"/>
  <c r="L88"/>
  <c r="I86"/>
  <c r="I85"/>
  <c r="L97"/>
  <c r="I51"/>
  <c r="I50"/>
  <c r="L76"/>
  <c r="L75"/>
  <c r="I45"/>
  <c r="I44"/>
  <c r="D87" i="34" l="1"/>
  <c r="U98"/>
  <c r="D16"/>
  <c r="E98"/>
  <c r="D12" i="35"/>
  <c r="E71"/>
  <c r="E97" s="1"/>
  <c r="K13" i="34"/>
  <c r="D13" s="1"/>
  <c r="D127" i="35"/>
  <c r="L98" i="34"/>
  <c r="K98" s="1"/>
  <c r="M100" s="1"/>
  <c r="I99" i="35"/>
  <c r="D86"/>
  <c r="H76" i="34"/>
  <c r="D76" s="1"/>
  <c r="I74"/>
  <c r="I53" i="31"/>
  <c r="I52"/>
  <c r="L53"/>
  <c r="L52"/>
  <c r="L34"/>
  <c r="L33"/>
  <c r="D97" i="35" l="1"/>
  <c r="I72" i="34"/>
  <c r="H74"/>
  <c r="D74" s="1"/>
  <c r="I43" i="31"/>
  <c r="I42"/>
  <c r="I41"/>
  <c r="I40"/>
  <c r="M97" i="32"/>
  <c r="J97"/>
  <c r="M99" i="35" l="1"/>
  <c r="E98"/>
  <c r="J99" s="1"/>
  <c r="H72" i="34"/>
  <c r="D72" s="1"/>
  <c r="I98"/>
  <c r="H98" s="1"/>
  <c r="D98" s="1"/>
  <c r="E99" s="1"/>
  <c r="J100" s="1"/>
  <c r="M14" i="32"/>
  <c r="L14"/>
  <c r="J14"/>
  <c r="I14"/>
  <c r="W156" i="33" l="1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U142"/>
  <c r="U140" s="1"/>
  <c r="R142"/>
  <c r="P142"/>
  <c r="N142"/>
  <c r="K142"/>
  <c r="K140" s="1"/>
  <c r="E142"/>
  <c r="W141"/>
  <c r="U141"/>
  <c r="R141"/>
  <c r="R139" s="1"/>
  <c r="P141"/>
  <c r="N141"/>
  <c r="K141"/>
  <c r="E141"/>
  <c r="X140"/>
  <c r="V140"/>
  <c r="T140"/>
  <c r="S140"/>
  <c r="Q140"/>
  <c r="O140"/>
  <c r="M140"/>
  <c r="L140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E97"/>
  <c r="W96"/>
  <c r="U96"/>
  <c r="R96"/>
  <c r="P96"/>
  <c r="N96"/>
  <c r="E96"/>
  <c r="W95"/>
  <c r="U95"/>
  <c r="R95"/>
  <c r="P95"/>
  <c r="P94" s="1"/>
  <c r="N95"/>
  <c r="N94" s="1"/>
  <c r="E95"/>
  <c r="X94"/>
  <c r="V94"/>
  <c r="T94"/>
  <c r="S94"/>
  <c r="Q94"/>
  <c r="O94"/>
  <c r="G94"/>
  <c r="F94"/>
  <c r="W93"/>
  <c r="U93"/>
  <c r="R93"/>
  <c r="P93"/>
  <c r="N93"/>
  <c r="E93"/>
  <c r="W92"/>
  <c r="U92"/>
  <c r="R92"/>
  <c r="P92"/>
  <c r="N92"/>
  <c r="E92"/>
  <c r="W91"/>
  <c r="U91"/>
  <c r="R91"/>
  <c r="P91"/>
  <c r="N91"/>
  <c r="E91"/>
  <c r="W90"/>
  <c r="U90"/>
  <c r="R90"/>
  <c r="P90"/>
  <c r="N90"/>
  <c r="W89"/>
  <c r="U89"/>
  <c r="R89"/>
  <c r="P89"/>
  <c r="N89"/>
  <c r="E89"/>
  <c r="W88"/>
  <c r="U88"/>
  <c r="R88"/>
  <c r="P88"/>
  <c r="N88"/>
  <c r="E88"/>
  <c r="X87"/>
  <c r="V87"/>
  <c r="T87"/>
  <c r="S87"/>
  <c r="Q87"/>
  <c r="O87"/>
  <c r="G87"/>
  <c r="F87"/>
  <c r="W86"/>
  <c r="U86"/>
  <c r="R86"/>
  <c r="P86"/>
  <c r="N86"/>
  <c r="E86"/>
  <c r="W85"/>
  <c r="U85"/>
  <c r="R85"/>
  <c r="P85"/>
  <c r="N85"/>
  <c r="E85"/>
  <c r="W84"/>
  <c r="U84"/>
  <c r="R84"/>
  <c r="P84"/>
  <c r="N84"/>
  <c r="E84"/>
  <c r="W83"/>
  <c r="U83"/>
  <c r="R83"/>
  <c r="P83"/>
  <c r="N83"/>
  <c r="E83"/>
  <c r="W82"/>
  <c r="U82"/>
  <c r="R82"/>
  <c r="P82"/>
  <c r="N82"/>
  <c r="E82"/>
  <c r="W81"/>
  <c r="U81"/>
  <c r="R81"/>
  <c r="P81"/>
  <c r="N81"/>
  <c r="E81"/>
  <c r="W80"/>
  <c r="U80"/>
  <c r="R80"/>
  <c r="P80"/>
  <c r="N80"/>
  <c r="E80"/>
  <c r="W79"/>
  <c r="U79"/>
  <c r="R79"/>
  <c r="P79"/>
  <c r="N79"/>
  <c r="E79"/>
  <c r="W78"/>
  <c r="U78"/>
  <c r="R78"/>
  <c r="P78"/>
  <c r="N78"/>
  <c r="E78"/>
  <c r="W77"/>
  <c r="U77"/>
  <c r="R77"/>
  <c r="P77"/>
  <c r="N77"/>
  <c r="E77"/>
  <c r="W76"/>
  <c r="U76"/>
  <c r="R76"/>
  <c r="R74" s="1"/>
  <c r="R72" s="1"/>
  <c r="P76"/>
  <c r="N76"/>
  <c r="E76"/>
  <c r="W75"/>
  <c r="U75"/>
  <c r="R75"/>
  <c r="P75"/>
  <c r="N75"/>
  <c r="N73" s="1"/>
  <c r="E75"/>
  <c r="X74"/>
  <c r="V74"/>
  <c r="V72" s="1"/>
  <c r="T74"/>
  <c r="T72" s="1"/>
  <c r="S74"/>
  <c r="S72" s="1"/>
  <c r="Q74"/>
  <c r="Q72" s="1"/>
  <c r="O74"/>
  <c r="O72" s="1"/>
  <c r="G74"/>
  <c r="G72" s="1"/>
  <c r="F74"/>
  <c r="F72" s="1"/>
  <c r="X73"/>
  <c r="V73"/>
  <c r="T73"/>
  <c r="S73"/>
  <c r="Q73"/>
  <c r="O73"/>
  <c r="G73"/>
  <c r="F73"/>
  <c r="X72"/>
  <c r="W71"/>
  <c r="U71"/>
  <c r="R71"/>
  <c r="P71"/>
  <c r="N71"/>
  <c r="W70"/>
  <c r="U70"/>
  <c r="R70"/>
  <c r="P70"/>
  <c r="N70"/>
  <c r="W69"/>
  <c r="U69"/>
  <c r="R69"/>
  <c r="P69"/>
  <c r="N69"/>
  <c r="W68"/>
  <c r="U68"/>
  <c r="R68"/>
  <c r="P68"/>
  <c r="N68"/>
  <c r="W67"/>
  <c r="U67"/>
  <c r="R67"/>
  <c r="P67"/>
  <c r="N67"/>
  <c r="W66"/>
  <c r="U66"/>
  <c r="R66"/>
  <c r="P66"/>
  <c r="N66"/>
  <c r="W65"/>
  <c r="U65"/>
  <c r="R65"/>
  <c r="P65"/>
  <c r="N65"/>
  <c r="W64"/>
  <c r="U64"/>
  <c r="R64"/>
  <c r="P64"/>
  <c r="N64"/>
  <c r="W63"/>
  <c r="U63"/>
  <c r="R63"/>
  <c r="P63"/>
  <c r="N63"/>
  <c r="W62"/>
  <c r="U62"/>
  <c r="R62"/>
  <c r="P62"/>
  <c r="N62"/>
  <c r="W61"/>
  <c r="U61"/>
  <c r="R61"/>
  <c r="P61"/>
  <c r="N61"/>
  <c r="W60"/>
  <c r="U60"/>
  <c r="R60"/>
  <c r="P60"/>
  <c r="N60"/>
  <c r="W59"/>
  <c r="U59"/>
  <c r="R59"/>
  <c r="P59"/>
  <c r="N59"/>
  <c r="E59"/>
  <c r="W58"/>
  <c r="U58"/>
  <c r="R58"/>
  <c r="P58"/>
  <c r="N58"/>
  <c r="E58"/>
  <c r="W57"/>
  <c r="U57"/>
  <c r="R57"/>
  <c r="P57"/>
  <c r="N57"/>
  <c r="E57"/>
  <c r="W56"/>
  <c r="U56"/>
  <c r="R56"/>
  <c r="P56"/>
  <c r="N56"/>
  <c r="E56"/>
  <c r="W55"/>
  <c r="U55"/>
  <c r="R55"/>
  <c r="P55"/>
  <c r="N55"/>
  <c r="E55"/>
  <c r="W54"/>
  <c r="U54"/>
  <c r="R54"/>
  <c r="P54"/>
  <c r="N54"/>
  <c r="E54"/>
  <c r="W53"/>
  <c r="U53"/>
  <c r="R53"/>
  <c r="P53"/>
  <c r="N53"/>
  <c r="E53"/>
  <c r="W52"/>
  <c r="U52"/>
  <c r="R52"/>
  <c r="P52"/>
  <c r="N52"/>
  <c r="E52"/>
  <c r="W51"/>
  <c r="U51"/>
  <c r="R51"/>
  <c r="P51"/>
  <c r="N51"/>
  <c r="E51"/>
  <c r="W50"/>
  <c r="U50"/>
  <c r="R50"/>
  <c r="P50"/>
  <c r="N50"/>
  <c r="E50"/>
  <c r="W49"/>
  <c r="U49"/>
  <c r="R49"/>
  <c r="P49"/>
  <c r="N49"/>
  <c r="E49"/>
  <c r="W48"/>
  <c r="U48"/>
  <c r="R48"/>
  <c r="P48"/>
  <c r="N48"/>
  <c r="E48"/>
  <c r="W47"/>
  <c r="U47"/>
  <c r="R47"/>
  <c r="P47"/>
  <c r="N47"/>
  <c r="E47"/>
  <c r="W46"/>
  <c r="U46"/>
  <c r="R46"/>
  <c r="P46"/>
  <c r="N46"/>
  <c r="E46"/>
  <c r="W45"/>
  <c r="U45"/>
  <c r="R45"/>
  <c r="P45"/>
  <c r="N45"/>
  <c r="E45"/>
  <c r="W44"/>
  <c r="U44"/>
  <c r="R44"/>
  <c r="P44"/>
  <c r="N44"/>
  <c r="E44"/>
  <c r="U43"/>
  <c r="R43"/>
  <c r="P43"/>
  <c r="N43"/>
  <c r="U42"/>
  <c r="R42"/>
  <c r="P42"/>
  <c r="N42"/>
  <c r="U41"/>
  <c r="R41"/>
  <c r="P41"/>
  <c r="N41"/>
  <c r="U40"/>
  <c r="R40"/>
  <c r="P40"/>
  <c r="N40"/>
  <c r="W39"/>
  <c r="U39"/>
  <c r="R39"/>
  <c r="P39"/>
  <c r="N39"/>
  <c r="E39"/>
  <c r="W38"/>
  <c r="U38"/>
  <c r="R38"/>
  <c r="P38"/>
  <c r="N38"/>
  <c r="E38"/>
  <c r="W37"/>
  <c r="U37"/>
  <c r="R37"/>
  <c r="P37"/>
  <c r="N37"/>
  <c r="E37"/>
  <c r="W36"/>
  <c r="U36"/>
  <c r="R36"/>
  <c r="P36"/>
  <c r="N36"/>
  <c r="E36"/>
  <c r="W35"/>
  <c r="U35"/>
  <c r="R35"/>
  <c r="P35"/>
  <c r="N35"/>
  <c r="E35"/>
  <c r="W34"/>
  <c r="U34"/>
  <c r="R34"/>
  <c r="P34"/>
  <c r="E34"/>
  <c r="W33"/>
  <c r="U33"/>
  <c r="R33"/>
  <c r="P33"/>
  <c r="E33"/>
  <c r="W32"/>
  <c r="U32"/>
  <c r="R32"/>
  <c r="P32"/>
  <c r="N32"/>
  <c r="K32"/>
  <c r="H32"/>
  <c r="W31"/>
  <c r="U31"/>
  <c r="R31"/>
  <c r="P31"/>
  <c r="N31"/>
  <c r="K31"/>
  <c r="H31"/>
  <c r="W30"/>
  <c r="U30"/>
  <c r="R30"/>
  <c r="P30"/>
  <c r="N30"/>
  <c r="K30"/>
  <c r="H30"/>
  <c r="D30" s="1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W26"/>
  <c r="U26"/>
  <c r="R26"/>
  <c r="P26"/>
  <c r="N26"/>
  <c r="K26"/>
  <c r="H26"/>
  <c r="D26" s="1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J23"/>
  <c r="I25" i="42" s="1"/>
  <c r="G25" s="1"/>
  <c r="E25" s="1"/>
  <c r="F25" s="1"/>
  <c r="I23" i="33"/>
  <c r="H25" i="36" s="1"/>
  <c r="W22" i="33"/>
  <c r="U22"/>
  <c r="R22"/>
  <c r="P22"/>
  <c r="N22"/>
  <c r="K22"/>
  <c r="H22"/>
  <c r="W21"/>
  <c r="U21"/>
  <c r="R21"/>
  <c r="P21"/>
  <c r="N21"/>
  <c r="W20"/>
  <c r="U20"/>
  <c r="R20"/>
  <c r="P20"/>
  <c r="N20"/>
  <c r="E20"/>
  <c r="W19"/>
  <c r="U19"/>
  <c r="R19"/>
  <c r="P19"/>
  <c r="N19"/>
  <c r="E19"/>
  <c r="W18"/>
  <c r="W16" s="1"/>
  <c r="U18"/>
  <c r="U16" s="1"/>
  <c r="R18"/>
  <c r="R16" s="1"/>
  <c r="P18"/>
  <c r="N18"/>
  <c r="N16" s="1"/>
  <c r="E18"/>
  <c r="E16" s="1"/>
  <c r="W17"/>
  <c r="U17"/>
  <c r="U15" s="1"/>
  <c r="R17"/>
  <c r="R15" s="1"/>
  <c r="P17"/>
  <c r="P15" s="1"/>
  <c r="N17"/>
  <c r="E17"/>
  <c r="X16"/>
  <c r="V16"/>
  <c r="T16"/>
  <c r="S16"/>
  <c r="Q16"/>
  <c r="P16"/>
  <c r="O16"/>
  <c r="G16"/>
  <c r="G13" s="1"/>
  <c r="F16"/>
  <c r="X15"/>
  <c r="V15"/>
  <c r="T15"/>
  <c r="S15"/>
  <c r="Q15"/>
  <c r="O15"/>
  <c r="G15"/>
  <c r="F15"/>
  <c r="E15"/>
  <c r="F13"/>
  <c r="I142" i="32"/>
  <c r="I145"/>
  <c r="I146"/>
  <c r="I151"/>
  <c r="I152"/>
  <c r="I141"/>
  <c r="L96"/>
  <c r="M96"/>
  <c r="M95"/>
  <c r="L95"/>
  <c r="I96"/>
  <c r="J96"/>
  <c r="J94" s="1"/>
  <c r="J95"/>
  <c r="I95"/>
  <c r="M89"/>
  <c r="M90"/>
  <c r="M91"/>
  <c r="M92"/>
  <c r="M93"/>
  <c r="M88"/>
  <c r="J89"/>
  <c r="J90"/>
  <c r="J91"/>
  <c r="J92"/>
  <c r="J93"/>
  <c r="J88"/>
  <c r="L76"/>
  <c r="M76"/>
  <c r="M77"/>
  <c r="M78"/>
  <c r="M79"/>
  <c r="M80"/>
  <c r="M81"/>
  <c r="M82"/>
  <c r="M83"/>
  <c r="M84"/>
  <c r="M85"/>
  <c r="M86"/>
  <c r="M75"/>
  <c r="L75"/>
  <c r="J76"/>
  <c r="J77"/>
  <c r="J78"/>
  <c r="J79"/>
  <c r="J80"/>
  <c r="J81"/>
  <c r="J82"/>
  <c r="J83"/>
  <c r="J84"/>
  <c r="J85"/>
  <c r="J86"/>
  <c r="J75"/>
  <c r="M34"/>
  <c r="L35"/>
  <c r="K35" s="1"/>
  <c r="M35"/>
  <c r="L36"/>
  <c r="M36"/>
  <c r="L37"/>
  <c r="K37" s="1"/>
  <c r="M37"/>
  <c r="L38"/>
  <c r="M38"/>
  <c r="L39"/>
  <c r="K39" s="1"/>
  <c r="M39"/>
  <c r="L40"/>
  <c r="K40" s="1"/>
  <c r="M40"/>
  <c r="L41"/>
  <c r="M41"/>
  <c r="L42"/>
  <c r="K42" s="1"/>
  <c r="M42"/>
  <c r="L43"/>
  <c r="K43" s="1"/>
  <c r="M43"/>
  <c r="L44"/>
  <c r="K44" s="1"/>
  <c r="M44"/>
  <c r="L45"/>
  <c r="K45" s="1"/>
  <c r="M45"/>
  <c r="L46"/>
  <c r="M46"/>
  <c r="L47"/>
  <c r="K47" s="1"/>
  <c r="M47"/>
  <c r="L48"/>
  <c r="K48" s="1"/>
  <c r="M48"/>
  <c r="L49"/>
  <c r="K49" s="1"/>
  <c r="M49"/>
  <c r="L50"/>
  <c r="K50" s="1"/>
  <c r="M50"/>
  <c r="M51"/>
  <c r="L52"/>
  <c r="M52"/>
  <c r="L53"/>
  <c r="M53"/>
  <c r="L54"/>
  <c r="M54"/>
  <c r="K54" s="1"/>
  <c r="L55"/>
  <c r="M55"/>
  <c r="K55" s="1"/>
  <c r="L56"/>
  <c r="M56"/>
  <c r="L57"/>
  <c r="M57"/>
  <c r="K57" s="1"/>
  <c r="L58"/>
  <c r="M58"/>
  <c r="L59"/>
  <c r="M59"/>
  <c r="L60"/>
  <c r="M60"/>
  <c r="L61"/>
  <c r="M61"/>
  <c r="L62"/>
  <c r="M62"/>
  <c r="K62" s="1"/>
  <c r="L63"/>
  <c r="M63"/>
  <c r="K63" s="1"/>
  <c r="L64"/>
  <c r="M64"/>
  <c r="L65"/>
  <c r="M65"/>
  <c r="L66"/>
  <c r="M66"/>
  <c r="L67"/>
  <c r="M67"/>
  <c r="K67" s="1"/>
  <c r="L68"/>
  <c r="M68"/>
  <c r="L69"/>
  <c r="M69"/>
  <c r="L70"/>
  <c r="M70"/>
  <c r="K70" s="1"/>
  <c r="L71"/>
  <c r="M71"/>
  <c r="M33"/>
  <c r="J34"/>
  <c r="I35"/>
  <c r="J35"/>
  <c r="I36"/>
  <c r="J36"/>
  <c r="I37"/>
  <c r="J37"/>
  <c r="I38"/>
  <c r="J38"/>
  <c r="I39"/>
  <c r="J39"/>
  <c r="I40"/>
  <c r="J40"/>
  <c r="I41"/>
  <c r="J41"/>
  <c r="J42"/>
  <c r="J43"/>
  <c r="J44"/>
  <c r="J45"/>
  <c r="I46"/>
  <c r="J46"/>
  <c r="I47"/>
  <c r="J47"/>
  <c r="I48"/>
  <c r="J48"/>
  <c r="I49"/>
  <c r="J49"/>
  <c r="J52"/>
  <c r="J53"/>
  <c r="J54"/>
  <c r="J55"/>
  <c r="I56"/>
  <c r="J56"/>
  <c r="I57"/>
  <c r="J57"/>
  <c r="I58"/>
  <c r="J58"/>
  <c r="I59"/>
  <c r="J59"/>
  <c r="H59" s="1"/>
  <c r="I60"/>
  <c r="J60"/>
  <c r="I61"/>
  <c r="J61"/>
  <c r="H61" s="1"/>
  <c r="I62"/>
  <c r="J62"/>
  <c r="I63"/>
  <c r="J63"/>
  <c r="I64"/>
  <c r="J64"/>
  <c r="I65"/>
  <c r="J65"/>
  <c r="H65" s="1"/>
  <c r="J66"/>
  <c r="J67"/>
  <c r="I68"/>
  <c r="J68"/>
  <c r="I69"/>
  <c r="J69"/>
  <c r="I70"/>
  <c r="J70"/>
  <c r="I71"/>
  <c r="J71"/>
  <c r="J33"/>
  <c r="L18"/>
  <c r="M18"/>
  <c r="L19"/>
  <c r="M19"/>
  <c r="L20"/>
  <c r="M20"/>
  <c r="L21"/>
  <c r="M21"/>
  <c r="M17"/>
  <c r="L17"/>
  <c r="J18"/>
  <c r="J19"/>
  <c r="J20"/>
  <c r="J21"/>
  <c r="I18"/>
  <c r="H18" s="1"/>
  <c r="I19"/>
  <c r="I20"/>
  <c r="I21"/>
  <c r="H21" s="1"/>
  <c r="J17"/>
  <c r="I17"/>
  <c r="W156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U142"/>
  <c r="R142"/>
  <c r="R140" s="1"/>
  <c r="P142"/>
  <c r="N142"/>
  <c r="K142"/>
  <c r="E142"/>
  <c r="W141"/>
  <c r="U141"/>
  <c r="R141"/>
  <c r="P141"/>
  <c r="P139" s="1"/>
  <c r="N141"/>
  <c r="N139" s="1"/>
  <c r="K141"/>
  <c r="E141"/>
  <c r="X140"/>
  <c r="V140"/>
  <c r="T140"/>
  <c r="S140"/>
  <c r="Q140"/>
  <c r="O140"/>
  <c r="M140"/>
  <c r="L140"/>
  <c r="J140"/>
  <c r="G140"/>
  <c r="F140"/>
  <c r="X139"/>
  <c r="W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D133" s="1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E97"/>
  <c r="W96"/>
  <c r="U96"/>
  <c r="R96"/>
  <c r="P96"/>
  <c r="N96"/>
  <c r="E96"/>
  <c r="W95"/>
  <c r="U95"/>
  <c r="U94" s="1"/>
  <c r="R95"/>
  <c r="P95"/>
  <c r="N95"/>
  <c r="E95"/>
  <c r="E94" s="1"/>
  <c r="X94"/>
  <c r="V94"/>
  <c r="T94"/>
  <c r="S94"/>
  <c r="R94"/>
  <c r="Q94"/>
  <c r="O94"/>
  <c r="M94"/>
  <c r="G94"/>
  <c r="F94"/>
  <c r="W93"/>
  <c r="U93"/>
  <c r="R93"/>
  <c r="P93"/>
  <c r="N93"/>
  <c r="E93"/>
  <c r="W92"/>
  <c r="U92"/>
  <c r="R92"/>
  <c r="P92"/>
  <c r="N92"/>
  <c r="E92"/>
  <c r="W91"/>
  <c r="U91"/>
  <c r="R91"/>
  <c r="P91"/>
  <c r="N91"/>
  <c r="E91"/>
  <c r="W90"/>
  <c r="U90"/>
  <c r="R90"/>
  <c r="P90"/>
  <c r="N90"/>
  <c r="W89"/>
  <c r="U89"/>
  <c r="R89"/>
  <c r="P89"/>
  <c r="N89"/>
  <c r="E89"/>
  <c r="W88"/>
  <c r="U88"/>
  <c r="R88"/>
  <c r="P88"/>
  <c r="N88"/>
  <c r="E88"/>
  <c r="X87"/>
  <c r="V87"/>
  <c r="T87"/>
  <c r="S87"/>
  <c r="Q87"/>
  <c r="O87"/>
  <c r="J87"/>
  <c r="G87"/>
  <c r="F87"/>
  <c r="W86"/>
  <c r="U86"/>
  <c r="R86"/>
  <c r="P86"/>
  <c r="N86"/>
  <c r="E86"/>
  <c r="W85"/>
  <c r="U85"/>
  <c r="R85"/>
  <c r="P85"/>
  <c r="N85"/>
  <c r="E85"/>
  <c r="W84"/>
  <c r="U84"/>
  <c r="R84"/>
  <c r="P84"/>
  <c r="N84"/>
  <c r="E84"/>
  <c r="W83"/>
  <c r="U83"/>
  <c r="R83"/>
  <c r="P83"/>
  <c r="N83"/>
  <c r="E83"/>
  <c r="W82"/>
  <c r="U82"/>
  <c r="R82"/>
  <c r="P82"/>
  <c r="N82"/>
  <c r="E82"/>
  <c r="W81"/>
  <c r="U81"/>
  <c r="R81"/>
  <c r="P81"/>
  <c r="N81"/>
  <c r="E81"/>
  <c r="W80"/>
  <c r="U80"/>
  <c r="R80"/>
  <c r="P80"/>
  <c r="N80"/>
  <c r="E80"/>
  <c r="W79"/>
  <c r="U79"/>
  <c r="R79"/>
  <c r="P79"/>
  <c r="N79"/>
  <c r="E79"/>
  <c r="W78"/>
  <c r="U78"/>
  <c r="R78"/>
  <c r="P78"/>
  <c r="N78"/>
  <c r="E78"/>
  <c r="W77"/>
  <c r="U77"/>
  <c r="R77"/>
  <c r="P77"/>
  <c r="N77"/>
  <c r="E77"/>
  <c r="W76"/>
  <c r="U76"/>
  <c r="U74" s="1"/>
  <c r="U72" s="1"/>
  <c r="R76"/>
  <c r="P76"/>
  <c r="N76"/>
  <c r="E76"/>
  <c r="E74" s="1"/>
  <c r="E72" s="1"/>
  <c r="W75"/>
  <c r="U75"/>
  <c r="R75"/>
  <c r="P75"/>
  <c r="P73" s="1"/>
  <c r="N75"/>
  <c r="E75"/>
  <c r="E73" s="1"/>
  <c r="X74"/>
  <c r="X72" s="1"/>
  <c r="V74"/>
  <c r="T74"/>
  <c r="T72" s="1"/>
  <c r="S74"/>
  <c r="S72" s="1"/>
  <c r="Q74"/>
  <c r="O74"/>
  <c r="O72" s="1"/>
  <c r="M74"/>
  <c r="M72" s="1"/>
  <c r="J74"/>
  <c r="J72" s="1"/>
  <c r="G74"/>
  <c r="G72" s="1"/>
  <c r="F74"/>
  <c r="F72" s="1"/>
  <c r="X73"/>
  <c r="V73"/>
  <c r="T73"/>
  <c r="S73"/>
  <c r="R73"/>
  <c r="Q73"/>
  <c r="O73"/>
  <c r="G73"/>
  <c r="F73"/>
  <c r="V72"/>
  <c r="Q72"/>
  <c r="W71"/>
  <c r="U71"/>
  <c r="R71"/>
  <c r="P71"/>
  <c r="N71"/>
  <c r="W70"/>
  <c r="U70"/>
  <c r="R70"/>
  <c r="P70"/>
  <c r="N70"/>
  <c r="W69"/>
  <c r="U69"/>
  <c r="R69"/>
  <c r="P69"/>
  <c r="N69"/>
  <c r="W68"/>
  <c r="U68"/>
  <c r="R68"/>
  <c r="P68"/>
  <c r="N68"/>
  <c r="W67"/>
  <c r="U67"/>
  <c r="R67"/>
  <c r="P67"/>
  <c r="N67"/>
  <c r="W66"/>
  <c r="U66"/>
  <c r="R66"/>
  <c r="P66"/>
  <c r="N66"/>
  <c r="W65"/>
  <c r="U65"/>
  <c r="R65"/>
  <c r="P65"/>
  <c r="N65"/>
  <c r="K65"/>
  <c r="W64"/>
  <c r="U64"/>
  <c r="R64"/>
  <c r="P64"/>
  <c r="N64"/>
  <c r="W63"/>
  <c r="U63"/>
  <c r="R63"/>
  <c r="P63"/>
  <c r="N63"/>
  <c r="W62"/>
  <c r="U62"/>
  <c r="R62"/>
  <c r="P62"/>
  <c r="N62"/>
  <c r="W61"/>
  <c r="U61"/>
  <c r="R61"/>
  <c r="P61"/>
  <c r="N61"/>
  <c r="W60"/>
  <c r="U60"/>
  <c r="R60"/>
  <c r="P60"/>
  <c r="N60"/>
  <c r="W59"/>
  <c r="U59"/>
  <c r="R59"/>
  <c r="P59"/>
  <c r="N59"/>
  <c r="K59"/>
  <c r="E59"/>
  <c r="W58"/>
  <c r="U58"/>
  <c r="R58"/>
  <c r="P58"/>
  <c r="N58"/>
  <c r="E58"/>
  <c r="W57"/>
  <c r="U57"/>
  <c r="R57"/>
  <c r="P57"/>
  <c r="N57"/>
  <c r="H57"/>
  <c r="E57"/>
  <c r="W56"/>
  <c r="U56"/>
  <c r="R56"/>
  <c r="P56"/>
  <c r="N56"/>
  <c r="E56"/>
  <c r="W55"/>
  <c r="U55"/>
  <c r="R55"/>
  <c r="P55"/>
  <c r="N55"/>
  <c r="E55"/>
  <c r="W54"/>
  <c r="U54"/>
  <c r="R54"/>
  <c r="P54"/>
  <c r="N54"/>
  <c r="E54"/>
  <c r="W53"/>
  <c r="U53"/>
  <c r="R53"/>
  <c r="P53"/>
  <c r="N53"/>
  <c r="K53"/>
  <c r="E53"/>
  <c r="W52"/>
  <c r="U52"/>
  <c r="R52"/>
  <c r="P52"/>
  <c r="N52"/>
  <c r="E52"/>
  <c r="W51"/>
  <c r="U51"/>
  <c r="R51"/>
  <c r="P51"/>
  <c r="N51"/>
  <c r="E51"/>
  <c r="W50"/>
  <c r="U50"/>
  <c r="R50"/>
  <c r="P50"/>
  <c r="N50"/>
  <c r="E50"/>
  <c r="W49"/>
  <c r="U49"/>
  <c r="R49"/>
  <c r="P49"/>
  <c r="N49"/>
  <c r="H49"/>
  <c r="E49"/>
  <c r="W48"/>
  <c r="U48"/>
  <c r="R48"/>
  <c r="P48"/>
  <c r="N48"/>
  <c r="E48"/>
  <c r="W47"/>
  <c r="U47"/>
  <c r="R47"/>
  <c r="P47"/>
  <c r="N47"/>
  <c r="E47"/>
  <c r="W46"/>
  <c r="U46"/>
  <c r="R46"/>
  <c r="P46"/>
  <c r="N46"/>
  <c r="K46"/>
  <c r="E46"/>
  <c r="W45"/>
  <c r="U45"/>
  <c r="R45"/>
  <c r="P45"/>
  <c r="N45"/>
  <c r="E45"/>
  <c r="W44"/>
  <c r="U44"/>
  <c r="R44"/>
  <c r="P44"/>
  <c r="N44"/>
  <c r="E44"/>
  <c r="U43"/>
  <c r="R43"/>
  <c r="P43"/>
  <c r="N43"/>
  <c r="U42"/>
  <c r="R42"/>
  <c r="P42"/>
  <c r="N42"/>
  <c r="U41"/>
  <c r="R41"/>
  <c r="P41"/>
  <c r="N41"/>
  <c r="K41"/>
  <c r="U40"/>
  <c r="R40"/>
  <c r="P40"/>
  <c r="N40"/>
  <c r="W39"/>
  <c r="U39"/>
  <c r="R39"/>
  <c r="P39"/>
  <c r="N39"/>
  <c r="E39"/>
  <c r="W38"/>
  <c r="U38"/>
  <c r="R38"/>
  <c r="P38"/>
  <c r="N38"/>
  <c r="K38"/>
  <c r="E38"/>
  <c r="W37"/>
  <c r="U37"/>
  <c r="R37"/>
  <c r="P37"/>
  <c r="N37"/>
  <c r="E37"/>
  <c r="W36"/>
  <c r="U36"/>
  <c r="R36"/>
  <c r="P36"/>
  <c r="N36"/>
  <c r="K36"/>
  <c r="E36"/>
  <c r="W35"/>
  <c r="U35"/>
  <c r="R35"/>
  <c r="P35"/>
  <c r="N35"/>
  <c r="E35"/>
  <c r="W34"/>
  <c r="U34"/>
  <c r="R34"/>
  <c r="P34"/>
  <c r="E34"/>
  <c r="W33"/>
  <c r="U33"/>
  <c r="R33"/>
  <c r="P33"/>
  <c r="E33"/>
  <c r="W32"/>
  <c r="U32"/>
  <c r="R32"/>
  <c r="P32"/>
  <c r="N32"/>
  <c r="K32"/>
  <c r="H32"/>
  <c r="W31"/>
  <c r="U31"/>
  <c r="R31"/>
  <c r="P31"/>
  <c r="N31"/>
  <c r="K31"/>
  <c r="H3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J23"/>
  <c r="I23"/>
  <c r="W22"/>
  <c r="U22"/>
  <c r="R22"/>
  <c r="P22"/>
  <c r="N22"/>
  <c r="K22"/>
  <c r="H22"/>
  <c r="W21"/>
  <c r="U21"/>
  <c r="R21"/>
  <c r="P21"/>
  <c r="N21"/>
  <c r="W20"/>
  <c r="U20"/>
  <c r="R20"/>
  <c r="P20"/>
  <c r="N20"/>
  <c r="E20"/>
  <c r="W19"/>
  <c r="U19"/>
  <c r="R19"/>
  <c r="P19"/>
  <c r="N19"/>
  <c r="K19"/>
  <c r="E19"/>
  <c r="W18"/>
  <c r="U18"/>
  <c r="R18"/>
  <c r="P18"/>
  <c r="N18"/>
  <c r="E18"/>
  <c r="E16" s="1"/>
  <c r="W17"/>
  <c r="U17"/>
  <c r="R17"/>
  <c r="P17"/>
  <c r="P15" s="1"/>
  <c r="N17"/>
  <c r="E17"/>
  <c r="E15" s="1"/>
  <c r="X16"/>
  <c r="V16"/>
  <c r="T16"/>
  <c r="S16"/>
  <c r="Q16"/>
  <c r="O16"/>
  <c r="G16"/>
  <c r="G13" s="1"/>
  <c r="F16"/>
  <c r="F13" s="1"/>
  <c r="X15"/>
  <c r="V15"/>
  <c r="T15"/>
  <c r="S15"/>
  <c r="Q15"/>
  <c r="O15"/>
  <c r="G15"/>
  <c r="F15"/>
  <c r="K14"/>
  <c r="H14"/>
  <c r="W156" i="31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I140"/>
  <c r="E144"/>
  <c r="W143"/>
  <c r="U143"/>
  <c r="R143"/>
  <c r="P143"/>
  <c r="N143"/>
  <c r="K143"/>
  <c r="E143"/>
  <c r="W142"/>
  <c r="U142"/>
  <c r="R142"/>
  <c r="P142"/>
  <c r="N142"/>
  <c r="K142"/>
  <c r="E142"/>
  <c r="W141"/>
  <c r="U141"/>
  <c r="R141"/>
  <c r="P141"/>
  <c r="N141"/>
  <c r="K141"/>
  <c r="E141"/>
  <c r="X140"/>
  <c r="V140"/>
  <c r="T140"/>
  <c r="S140"/>
  <c r="Q140"/>
  <c r="O140"/>
  <c r="M140"/>
  <c r="L140"/>
  <c r="J140"/>
  <c r="G140"/>
  <c r="F140"/>
  <c r="X139"/>
  <c r="V139"/>
  <c r="T139"/>
  <c r="S139"/>
  <c r="Q139"/>
  <c r="O139"/>
  <c r="M139"/>
  <c r="L139"/>
  <c r="J139"/>
  <c r="I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D100"/>
  <c r="W97"/>
  <c r="U97"/>
  <c r="R97"/>
  <c r="P97"/>
  <c r="N97"/>
  <c r="K97"/>
  <c r="E97"/>
  <c r="W96"/>
  <c r="U96"/>
  <c r="R96"/>
  <c r="P96"/>
  <c r="N96"/>
  <c r="K96"/>
  <c r="H96"/>
  <c r="E96"/>
  <c r="W95"/>
  <c r="U95"/>
  <c r="R95"/>
  <c r="P95"/>
  <c r="N95"/>
  <c r="K95"/>
  <c r="H95"/>
  <c r="E95"/>
  <c r="X94"/>
  <c r="V94"/>
  <c r="T94"/>
  <c r="S94"/>
  <c r="Q94"/>
  <c r="P94"/>
  <c r="O94"/>
  <c r="M94"/>
  <c r="L94"/>
  <c r="J94"/>
  <c r="H93" s="1"/>
  <c r="I94"/>
  <c r="G94"/>
  <c r="F94"/>
  <c r="W93"/>
  <c r="U93"/>
  <c r="R93"/>
  <c r="P93"/>
  <c r="N93"/>
  <c r="K93"/>
  <c r="E93"/>
  <c r="W92"/>
  <c r="U92"/>
  <c r="R92"/>
  <c r="P92"/>
  <c r="N92"/>
  <c r="K92"/>
  <c r="H92"/>
  <c r="E92"/>
  <c r="W91"/>
  <c r="U91"/>
  <c r="R91"/>
  <c r="P91"/>
  <c r="N91"/>
  <c r="K91"/>
  <c r="H91"/>
  <c r="E91"/>
  <c r="W90"/>
  <c r="U90"/>
  <c r="R90"/>
  <c r="P90"/>
  <c r="N90"/>
  <c r="K90"/>
  <c r="H90"/>
  <c r="W89"/>
  <c r="U89"/>
  <c r="R89"/>
  <c r="P89"/>
  <c r="N89"/>
  <c r="K89"/>
  <c r="H89"/>
  <c r="E89"/>
  <c r="W88"/>
  <c r="U88"/>
  <c r="R88"/>
  <c r="P88"/>
  <c r="N88"/>
  <c r="K88"/>
  <c r="H88"/>
  <c r="E88"/>
  <c r="X87"/>
  <c r="V87"/>
  <c r="T87"/>
  <c r="S87"/>
  <c r="Q87"/>
  <c r="O87"/>
  <c r="M87"/>
  <c r="L87"/>
  <c r="J87"/>
  <c r="G87"/>
  <c r="F87"/>
  <c r="W86"/>
  <c r="U86"/>
  <c r="R86"/>
  <c r="P86"/>
  <c r="N86"/>
  <c r="K86"/>
  <c r="H86"/>
  <c r="E86"/>
  <c r="W85"/>
  <c r="U85"/>
  <c r="R85"/>
  <c r="P85"/>
  <c r="N85"/>
  <c r="K85"/>
  <c r="H85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H82"/>
  <c r="E82"/>
  <c r="W81"/>
  <c r="U81"/>
  <c r="R81"/>
  <c r="P81"/>
  <c r="N81"/>
  <c r="K81"/>
  <c r="H81"/>
  <c r="E81"/>
  <c r="W80"/>
  <c r="U80"/>
  <c r="R80"/>
  <c r="P80"/>
  <c r="N80"/>
  <c r="K80"/>
  <c r="H80"/>
  <c r="E80"/>
  <c r="W79"/>
  <c r="U79"/>
  <c r="R79"/>
  <c r="P79"/>
  <c r="N79"/>
  <c r="K79"/>
  <c r="H79"/>
  <c r="E79"/>
  <c r="W78"/>
  <c r="U78"/>
  <c r="R78"/>
  <c r="P78"/>
  <c r="N78"/>
  <c r="K78"/>
  <c r="H78"/>
  <c r="E78"/>
  <c r="W77"/>
  <c r="U77"/>
  <c r="R77"/>
  <c r="P77"/>
  <c r="N77"/>
  <c r="K77"/>
  <c r="H77"/>
  <c r="E77"/>
  <c r="W76"/>
  <c r="U76"/>
  <c r="R76"/>
  <c r="R74" s="1"/>
  <c r="P76"/>
  <c r="N76"/>
  <c r="K76"/>
  <c r="H76"/>
  <c r="E76"/>
  <c r="W75"/>
  <c r="U75"/>
  <c r="R75"/>
  <c r="R73" s="1"/>
  <c r="P75"/>
  <c r="N75"/>
  <c r="K75"/>
  <c r="H75"/>
  <c r="E75"/>
  <c r="X74"/>
  <c r="X72" s="1"/>
  <c r="V74"/>
  <c r="V72" s="1"/>
  <c r="T74"/>
  <c r="S74"/>
  <c r="S72" s="1"/>
  <c r="Q74"/>
  <c r="Q72" s="1"/>
  <c r="O74"/>
  <c r="M74"/>
  <c r="M72" s="1"/>
  <c r="J74"/>
  <c r="J72" s="1"/>
  <c r="I74"/>
  <c r="G74"/>
  <c r="G72" s="1"/>
  <c r="F74"/>
  <c r="F72" s="1"/>
  <c r="X73"/>
  <c r="V73"/>
  <c r="T73"/>
  <c r="S73"/>
  <c r="Q73"/>
  <c r="O73"/>
  <c r="M73"/>
  <c r="L73"/>
  <c r="J73"/>
  <c r="I73"/>
  <c r="G73"/>
  <c r="F73"/>
  <c r="T72"/>
  <c r="O72"/>
  <c r="I72"/>
  <c r="W71"/>
  <c r="U71"/>
  <c r="R71"/>
  <c r="P71"/>
  <c r="N71"/>
  <c r="K71"/>
  <c r="H71"/>
  <c r="W70"/>
  <c r="U70"/>
  <c r="R70"/>
  <c r="P70"/>
  <c r="N70"/>
  <c r="K70"/>
  <c r="H70"/>
  <c r="W69"/>
  <c r="U69"/>
  <c r="R69"/>
  <c r="P69"/>
  <c r="N69"/>
  <c r="K69"/>
  <c r="H69"/>
  <c r="W68"/>
  <c r="U68"/>
  <c r="R68"/>
  <c r="P68"/>
  <c r="N68"/>
  <c r="K68"/>
  <c r="H68"/>
  <c r="W67"/>
  <c r="U67"/>
  <c r="R67"/>
  <c r="P67"/>
  <c r="N67"/>
  <c r="K67"/>
  <c r="H67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H57"/>
  <c r="D57" s="1"/>
  <c r="E57"/>
  <c r="W56"/>
  <c r="U56"/>
  <c r="R56"/>
  <c r="P56"/>
  <c r="N56"/>
  <c r="H56"/>
  <c r="D56" s="1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H51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H48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U42"/>
  <c r="R42"/>
  <c r="P42"/>
  <c r="N42"/>
  <c r="K42"/>
  <c r="H42"/>
  <c r="U41"/>
  <c r="R41"/>
  <c r="P41"/>
  <c r="N41"/>
  <c r="K41"/>
  <c r="H4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K37"/>
  <c r="H37"/>
  <c r="E37"/>
  <c r="W36"/>
  <c r="U36"/>
  <c r="R36"/>
  <c r="P36"/>
  <c r="N36"/>
  <c r="K36"/>
  <c r="H36"/>
  <c r="E36"/>
  <c r="W35"/>
  <c r="U35"/>
  <c r="R35"/>
  <c r="P35"/>
  <c r="N35"/>
  <c r="K35"/>
  <c r="H35"/>
  <c r="E35"/>
  <c r="W34"/>
  <c r="U34"/>
  <c r="R34"/>
  <c r="P34"/>
  <c r="K34"/>
  <c r="H34"/>
  <c r="E34"/>
  <c r="W33"/>
  <c r="U33"/>
  <c r="R33"/>
  <c r="P33"/>
  <c r="K33"/>
  <c r="H33"/>
  <c r="E33"/>
  <c r="W32"/>
  <c r="U32"/>
  <c r="R32"/>
  <c r="P32"/>
  <c r="N32"/>
  <c r="K32"/>
  <c r="H32"/>
  <c r="W31"/>
  <c r="U31"/>
  <c r="R31"/>
  <c r="P31"/>
  <c r="N31"/>
  <c r="K31"/>
  <c r="H3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J23"/>
  <c r="J13" s="1"/>
  <c r="I23"/>
  <c r="W22"/>
  <c r="U22"/>
  <c r="R22"/>
  <c r="P22"/>
  <c r="N22"/>
  <c r="K22"/>
  <c r="H22"/>
  <c r="W21"/>
  <c r="U21"/>
  <c r="R21"/>
  <c r="P21"/>
  <c r="N21"/>
  <c r="K21"/>
  <c r="H21"/>
  <c r="W20"/>
  <c r="U20"/>
  <c r="R20"/>
  <c r="P20"/>
  <c r="N20"/>
  <c r="H20"/>
  <c r="D20" s="1"/>
  <c r="E20"/>
  <c r="W19"/>
  <c r="U19"/>
  <c r="R19"/>
  <c r="P19"/>
  <c r="N19"/>
  <c r="H19"/>
  <c r="D19" s="1"/>
  <c r="E19"/>
  <c r="W18"/>
  <c r="U18"/>
  <c r="R18"/>
  <c r="P18"/>
  <c r="N18"/>
  <c r="N16" s="1"/>
  <c r="H18"/>
  <c r="D18" s="1"/>
  <c r="E18"/>
  <c r="W17"/>
  <c r="W15" s="1"/>
  <c r="U17"/>
  <c r="R17"/>
  <c r="P17"/>
  <c r="N17"/>
  <c r="N15" s="1"/>
  <c r="H17"/>
  <c r="D17" s="1"/>
  <c r="E17"/>
  <c r="X16"/>
  <c r="V16"/>
  <c r="T16"/>
  <c r="S16"/>
  <c r="Q16"/>
  <c r="P16"/>
  <c r="O16"/>
  <c r="M16"/>
  <c r="L16"/>
  <c r="J16"/>
  <c r="I16"/>
  <c r="G16"/>
  <c r="F16"/>
  <c r="F13" s="1"/>
  <c r="X15"/>
  <c r="V15"/>
  <c r="T15"/>
  <c r="S15"/>
  <c r="Q15"/>
  <c r="O15"/>
  <c r="M15"/>
  <c r="L15"/>
  <c r="J15"/>
  <c r="I15"/>
  <c r="G15"/>
  <c r="F15"/>
  <c r="K14"/>
  <c r="H14"/>
  <c r="G13"/>
  <c r="H23" l="1"/>
  <c r="D38"/>
  <c r="D40"/>
  <c r="D80"/>
  <c r="R87"/>
  <c r="D118"/>
  <c r="H128"/>
  <c r="D132"/>
  <c r="D134"/>
  <c r="D136"/>
  <c r="D138"/>
  <c r="N140"/>
  <c r="W140"/>
  <c r="P16" i="32"/>
  <c r="R87"/>
  <c r="H40"/>
  <c r="H38"/>
  <c r="H36"/>
  <c r="K68"/>
  <c r="K66"/>
  <c r="K64"/>
  <c r="K60"/>
  <c r="K58"/>
  <c r="K75"/>
  <c r="H96"/>
  <c r="K96"/>
  <c r="R87" i="33"/>
  <c r="D113"/>
  <c r="D119"/>
  <c r="D127"/>
  <c r="K128"/>
  <c r="P87" i="32"/>
  <c r="D26" i="31"/>
  <c r="D30"/>
  <c r="R139"/>
  <c r="D131" i="32"/>
  <c r="D132"/>
  <c r="D143"/>
  <c r="K21"/>
  <c r="H71"/>
  <c r="H69"/>
  <c r="H64"/>
  <c r="H62"/>
  <c r="H23" i="33"/>
  <c r="I25" i="36"/>
  <c r="D42" i="31"/>
  <c r="D44"/>
  <c r="D50"/>
  <c r="D60"/>
  <c r="D64"/>
  <c r="D68"/>
  <c r="D85"/>
  <c r="K94"/>
  <c r="D96"/>
  <c r="J16" i="32"/>
  <c r="M15"/>
  <c r="D36" i="31"/>
  <c r="D137"/>
  <c r="K140"/>
  <c r="D140" s="1"/>
  <c r="U140"/>
  <c r="R16" i="32"/>
  <c r="D25"/>
  <c r="D27"/>
  <c r="D31"/>
  <c r="E87"/>
  <c r="D115"/>
  <c r="G25" i="36"/>
  <c r="E25" s="1"/>
  <c r="F25" s="1"/>
  <c r="E15" i="31"/>
  <c r="N74"/>
  <c r="N72" s="1"/>
  <c r="W74"/>
  <c r="W72" s="1"/>
  <c r="N73"/>
  <c r="N139"/>
  <c r="R140"/>
  <c r="D150"/>
  <c r="D156"/>
  <c r="P94" i="32"/>
  <c r="D109"/>
  <c r="D111"/>
  <c r="D113"/>
  <c r="D114"/>
  <c r="K18"/>
  <c r="D18" s="1"/>
  <c r="H70"/>
  <c r="H68"/>
  <c r="H63"/>
  <c r="D63" s="1"/>
  <c r="H47"/>
  <c r="D47" s="1"/>
  <c r="H37"/>
  <c r="H35"/>
  <c r="K71"/>
  <c r="K69"/>
  <c r="K61"/>
  <c r="D49"/>
  <c r="H95"/>
  <c r="K23" i="33"/>
  <c r="D27"/>
  <c r="D31"/>
  <c r="R94"/>
  <c r="H16" i="31"/>
  <c r="P15"/>
  <c r="R16"/>
  <c r="D22"/>
  <c r="D25"/>
  <c r="D29"/>
  <c r="D59"/>
  <c r="D63"/>
  <c r="D67"/>
  <c r="D71"/>
  <c r="K73"/>
  <c r="U74"/>
  <c r="U72" s="1"/>
  <c r="D108"/>
  <c r="D116"/>
  <c r="D117"/>
  <c r="P139"/>
  <c r="D144"/>
  <c r="D155"/>
  <c r="U16" i="32"/>
  <c r="N16"/>
  <c r="W16"/>
  <c r="D24"/>
  <c r="D125"/>
  <c r="U140"/>
  <c r="D38"/>
  <c r="K56"/>
  <c r="K52"/>
  <c r="D103" i="33"/>
  <c r="D105"/>
  <c r="D137"/>
  <c r="F98" i="31"/>
  <c r="E139" i="33"/>
  <c r="M13" i="31"/>
  <c r="M98" s="1"/>
  <c r="D102"/>
  <c r="D104"/>
  <c r="D106"/>
  <c r="D107"/>
  <c r="D126"/>
  <c r="E13" i="32"/>
  <c r="K128"/>
  <c r="E13" i="33"/>
  <c r="L13" i="31"/>
  <c r="K13" s="1"/>
  <c r="D48"/>
  <c r="D51"/>
  <c r="D124"/>
  <c r="E128"/>
  <c r="D131"/>
  <c r="D146"/>
  <c r="N87" i="32"/>
  <c r="L15"/>
  <c r="K15" s="1"/>
  <c r="K17"/>
  <c r="M87"/>
  <c r="U74" i="33"/>
  <c r="U72" s="1"/>
  <c r="P73"/>
  <c r="D151" i="31"/>
  <c r="R15" i="32"/>
  <c r="D124"/>
  <c r="D137"/>
  <c r="U139"/>
  <c r="D68"/>
  <c r="D102" i="33"/>
  <c r="D136"/>
  <c r="E140"/>
  <c r="E16" i="31"/>
  <c r="E13" s="1"/>
  <c r="R72"/>
  <c r="E74"/>
  <c r="E72" s="1"/>
  <c r="E73"/>
  <c r="P73"/>
  <c r="N87"/>
  <c r="W87"/>
  <c r="E87"/>
  <c r="N94"/>
  <c r="W94"/>
  <c r="D120"/>
  <c r="D122"/>
  <c r="D123"/>
  <c r="U15" i="32"/>
  <c r="P74"/>
  <c r="P72" s="1"/>
  <c r="N94"/>
  <c r="D127"/>
  <c r="R139"/>
  <c r="D145"/>
  <c r="D149"/>
  <c r="D153"/>
  <c r="M73"/>
  <c r="E73" i="33"/>
  <c r="N87"/>
  <c r="W87"/>
  <c r="D111"/>
  <c r="D112"/>
  <c r="D121"/>
  <c r="D59" i="32"/>
  <c r="W74"/>
  <c r="W72" s="1"/>
  <c r="W87"/>
  <c r="D123"/>
  <c r="D135"/>
  <c r="D138"/>
  <c r="D146"/>
  <c r="K139"/>
  <c r="D139" s="1"/>
  <c r="D150"/>
  <c r="D154"/>
  <c r="W74" i="33"/>
  <c r="W72" s="1"/>
  <c r="D135"/>
  <c r="K15" i="31"/>
  <c r="R15"/>
  <c r="D21"/>
  <c r="D24"/>
  <c r="D46"/>
  <c r="D62"/>
  <c r="D66"/>
  <c r="U73"/>
  <c r="T98"/>
  <c r="R94"/>
  <c r="R98" s="1"/>
  <c r="D110"/>
  <c r="K128"/>
  <c r="D22" i="32"/>
  <c r="D26"/>
  <c r="D30"/>
  <c r="W73"/>
  <c r="U87"/>
  <c r="V98"/>
  <c r="D107"/>
  <c r="D108"/>
  <c r="D117"/>
  <c r="R128"/>
  <c r="D144"/>
  <c r="H60"/>
  <c r="H58"/>
  <c r="D58" s="1"/>
  <c r="H48"/>
  <c r="H46"/>
  <c r="J73"/>
  <c r="N15" i="33"/>
  <c r="W15"/>
  <c r="U94"/>
  <c r="D115"/>
  <c r="D117"/>
  <c r="D118"/>
  <c r="D129"/>
  <c r="U139"/>
  <c r="N140"/>
  <c r="W140"/>
  <c r="P139"/>
  <c r="E140" i="32"/>
  <c r="D142"/>
  <c r="H20"/>
  <c r="L16"/>
  <c r="P74" i="33"/>
  <c r="P72" s="1"/>
  <c r="D35" i="31"/>
  <c r="D109"/>
  <c r="D125"/>
  <c r="N15" i="32"/>
  <c r="W15"/>
  <c r="Q98"/>
  <c r="D141"/>
  <c r="E139"/>
  <c r="D96"/>
  <c r="U16" i="31"/>
  <c r="D45"/>
  <c r="D86"/>
  <c r="P87"/>
  <c r="G98"/>
  <c r="S98"/>
  <c r="E94"/>
  <c r="D112"/>
  <c r="D114"/>
  <c r="D115"/>
  <c r="E139"/>
  <c r="W139"/>
  <c r="P140"/>
  <c r="D143"/>
  <c r="E140"/>
  <c r="D145"/>
  <c r="D149"/>
  <c r="D154"/>
  <c r="K20" i="32"/>
  <c r="U73"/>
  <c r="H15" i="31"/>
  <c r="D15" s="1"/>
  <c r="U15"/>
  <c r="W16"/>
  <c r="P74"/>
  <c r="P72" s="1"/>
  <c r="H94"/>
  <c r="D94" s="1"/>
  <c r="O98"/>
  <c r="R128"/>
  <c r="D129"/>
  <c r="D130"/>
  <c r="D128" s="1"/>
  <c r="I16" i="32"/>
  <c r="H16" s="1"/>
  <c r="D65"/>
  <c r="N73"/>
  <c r="D71"/>
  <c r="D60"/>
  <c r="H56"/>
  <c r="D56" s="1"/>
  <c r="K76"/>
  <c r="E128" i="33"/>
  <c r="L94" i="32"/>
  <c r="D23" i="33"/>
  <c r="G98"/>
  <c r="K16" i="31"/>
  <c r="D16" s="1"/>
  <c r="D28"/>
  <c r="D47"/>
  <c r="D70"/>
  <c r="K87"/>
  <c r="U87"/>
  <c r="Q98"/>
  <c r="V98"/>
  <c r="D95"/>
  <c r="U94"/>
  <c r="D103"/>
  <c r="D111"/>
  <c r="D119"/>
  <c r="D127"/>
  <c r="D133"/>
  <c r="D142"/>
  <c r="K139"/>
  <c r="D139" s="1"/>
  <c r="U139"/>
  <c r="D153"/>
  <c r="D21" i="32"/>
  <c r="K23"/>
  <c r="D29"/>
  <c r="H39"/>
  <c r="D39" s="1"/>
  <c r="I94"/>
  <c r="P98"/>
  <c r="D116"/>
  <c r="N140"/>
  <c r="W140"/>
  <c r="D152"/>
  <c r="E74" i="33"/>
  <c r="E72" s="1"/>
  <c r="S98"/>
  <c r="P87"/>
  <c r="P98" s="1"/>
  <c r="X98"/>
  <c r="W94"/>
  <c r="D104"/>
  <c r="D120"/>
  <c r="K139"/>
  <c r="R140"/>
  <c r="G98" i="32"/>
  <c r="X98"/>
  <c r="W73" i="33"/>
  <c r="K23" i="31"/>
  <c r="D23" s="1"/>
  <c r="D27"/>
  <c r="D31"/>
  <c r="D41"/>
  <c r="D43"/>
  <c r="D61"/>
  <c r="D65"/>
  <c r="D69"/>
  <c r="H72"/>
  <c r="H73"/>
  <c r="D73" s="1"/>
  <c r="H74"/>
  <c r="W73"/>
  <c r="X98"/>
  <c r="D105"/>
  <c r="D113"/>
  <c r="D121"/>
  <c r="D135"/>
  <c r="D141"/>
  <c r="D152"/>
  <c r="J15" i="32"/>
  <c r="M16"/>
  <c r="M13" s="1"/>
  <c r="H19"/>
  <c r="D19" s="1"/>
  <c r="D28"/>
  <c r="D32"/>
  <c r="H41"/>
  <c r="D41" s="1"/>
  <c r="D46"/>
  <c r="N74"/>
  <c r="N72" s="1"/>
  <c r="N98" s="1"/>
  <c r="K95"/>
  <c r="D95" s="1"/>
  <c r="W94"/>
  <c r="D103"/>
  <c r="D105"/>
  <c r="D106"/>
  <c r="D119"/>
  <c r="D121"/>
  <c r="D122"/>
  <c r="D129"/>
  <c r="D130"/>
  <c r="E128"/>
  <c r="P140"/>
  <c r="K140"/>
  <c r="D140" s="1"/>
  <c r="D151"/>
  <c r="D155"/>
  <c r="R73" i="33"/>
  <c r="O98"/>
  <c r="E94"/>
  <c r="D107"/>
  <c r="D109"/>
  <c r="D110"/>
  <c r="D123"/>
  <c r="D125"/>
  <c r="D126"/>
  <c r="H128"/>
  <c r="D131"/>
  <c r="D133"/>
  <c r="D134"/>
  <c r="N139"/>
  <c r="W139"/>
  <c r="R74" i="32"/>
  <c r="R72" s="1"/>
  <c r="R98" s="1"/>
  <c r="O98"/>
  <c r="S98"/>
  <c r="D102"/>
  <c r="D110"/>
  <c r="D118"/>
  <c r="D126"/>
  <c r="H128"/>
  <c r="D134"/>
  <c r="D156"/>
  <c r="D22" i="33"/>
  <c r="H25" i="3"/>
  <c r="D25" i="33"/>
  <c r="D29"/>
  <c r="E87"/>
  <c r="U87"/>
  <c r="F98"/>
  <c r="T98"/>
  <c r="D106"/>
  <c r="D114"/>
  <c r="D122"/>
  <c r="D130"/>
  <c r="D138"/>
  <c r="P140"/>
  <c r="F98" i="32"/>
  <c r="T98"/>
  <c r="D104"/>
  <c r="D112"/>
  <c r="D120"/>
  <c r="D136"/>
  <c r="I25" i="3"/>
  <c r="D24" i="33"/>
  <c r="D28"/>
  <c r="D32"/>
  <c r="U73"/>
  <c r="N74"/>
  <c r="N72" s="1"/>
  <c r="Q98"/>
  <c r="V98"/>
  <c r="D108"/>
  <c r="D116"/>
  <c r="D124"/>
  <c r="R128"/>
  <c r="D132"/>
  <c r="D35" i="32"/>
  <c r="D36"/>
  <c r="D75" i="31"/>
  <c r="D83"/>
  <c r="D77"/>
  <c r="D52"/>
  <c r="D91"/>
  <c r="D90"/>
  <c r="D34"/>
  <c r="D55"/>
  <c r="D78"/>
  <c r="D89"/>
  <c r="D76"/>
  <c r="D92"/>
  <c r="D79"/>
  <c r="D81"/>
  <c r="N98" i="33"/>
  <c r="R98"/>
  <c r="H94" i="32"/>
  <c r="D48"/>
  <c r="D61"/>
  <c r="D64"/>
  <c r="D70"/>
  <c r="D62"/>
  <c r="D69"/>
  <c r="D37"/>
  <c r="D20"/>
  <c r="H17"/>
  <c r="D17" s="1"/>
  <c r="I15"/>
  <c r="D14"/>
  <c r="H23"/>
  <c r="D23" s="1"/>
  <c r="D40"/>
  <c r="D57"/>
  <c r="U98"/>
  <c r="W98"/>
  <c r="E98"/>
  <c r="K94"/>
  <c r="D88" i="31"/>
  <c r="D84"/>
  <c r="D53"/>
  <c r="D14"/>
  <c r="D32"/>
  <c r="D39"/>
  <c r="D54"/>
  <c r="D37"/>
  <c r="D49"/>
  <c r="D58"/>
  <c r="J98"/>
  <c r="D33"/>
  <c r="D82"/>
  <c r="D93"/>
  <c r="U98"/>
  <c r="I13"/>
  <c r="H13" s="1"/>
  <c r="L74"/>
  <c r="I87"/>
  <c r="H87" s="1"/>
  <c r="H97"/>
  <c r="I97" i="30"/>
  <c r="I81"/>
  <c r="I82" s="1"/>
  <c r="I79"/>
  <c r="I80" s="1"/>
  <c r="I77"/>
  <c r="I75"/>
  <c r="W156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U142"/>
  <c r="U140" s="1"/>
  <c r="R142"/>
  <c r="P142"/>
  <c r="N142"/>
  <c r="K142"/>
  <c r="K140" s="1"/>
  <c r="D140" s="1"/>
  <c r="E142"/>
  <c r="E140" s="1"/>
  <c r="W141"/>
  <c r="U141"/>
  <c r="U139" s="1"/>
  <c r="R141"/>
  <c r="P141"/>
  <c r="P139" s="1"/>
  <c r="N141"/>
  <c r="K141"/>
  <c r="E141"/>
  <c r="X140"/>
  <c r="V140"/>
  <c r="T140"/>
  <c r="S140"/>
  <c r="Q140"/>
  <c r="O140"/>
  <c r="M140"/>
  <c r="L140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E128" s="1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K128" s="1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D100"/>
  <c r="W97"/>
  <c r="U97"/>
  <c r="R97"/>
  <c r="P97"/>
  <c r="N97"/>
  <c r="K97"/>
  <c r="E97"/>
  <c r="W96"/>
  <c r="U96"/>
  <c r="R96"/>
  <c r="P96"/>
  <c r="N96"/>
  <c r="K96"/>
  <c r="H96"/>
  <c r="E96"/>
  <c r="W95"/>
  <c r="U95"/>
  <c r="U94" s="1"/>
  <c r="R95"/>
  <c r="P95"/>
  <c r="N95"/>
  <c r="K95"/>
  <c r="H95"/>
  <c r="E95"/>
  <c r="E94" s="1"/>
  <c r="X94"/>
  <c r="V94"/>
  <c r="T94"/>
  <c r="S94"/>
  <c r="Q94"/>
  <c r="P94"/>
  <c r="O94"/>
  <c r="N94"/>
  <c r="M94"/>
  <c r="L94"/>
  <c r="J94"/>
  <c r="I94"/>
  <c r="H94" s="1"/>
  <c r="G94"/>
  <c r="F94"/>
  <c r="W93"/>
  <c r="U93"/>
  <c r="R93"/>
  <c r="P93"/>
  <c r="N93"/>
  <c r="K93"/>
  <c r="E93"/>
  <c r="W92"/>
  <c r="U92"/>
  <c r="R92"/>
  <c r="P92"/>
  <c r="N92"/>
  <c r="K92"/>
  <c r="H92"/>
  <c r="D92" s="1"/>
  <c r="E92"/>
  <c r="W91"/>
  <c r="U91"/>
  <c r="R91"/>
  <c r="P91"/>
  <c r="N91"/>
  <c r="K91"/>
  <c r="H91"/>
  <c r="E91"/>
  <c r="W90"/>
  <c r="U90"/>
  <c r="R90"/>
  <c r="P90"/>
  <c r="N90"/>
  <c r="K90"/>
  <c r="H90"/>
  <c r="W89"/>
  <c r="U89"/>
  <c r="R89"/>
  <c r="P89"/>
  <c r="N89"/>
  <c r="K89"/>
  <c r="H89"/>
  <c r="E89"/>
  <c r="W88"/>
  <c r="U88"/>
  <c r="R88"/>
  <c r="P88"/>
  <c r="N88"/>
  <c r="K88"/>
  <c r="D88" s="1"/>
  <c r="H88"/>
  <c r="E88"/>
  <c r="X87"/>
  <c r="V87"/>
  <c r="T87"/>
  <c r="S87"/>
  <c r="Q87"/>
  <c r="P87"/>
  <c r="O87"/>
  <c r="M87"/>
  <c r="L87"/>
  <c r="J87"/>
  <c r="I87"/>
  <c r="H87"/>
  <c r="G87"/>
  <c r="F87"/>
  <c r="W86"/>
  <c r="U86"/>
  <c r="R86"/>
  <c r="P86"/>
  <c r="N86"/>
  <c r="K86"/>
  <c r="H86"/>
  <c r="E86"/>
  <c r="W85"/>
  <c r="U85"/>
  <c r="R85"/>
  <c r="P85"/>
  <c r="N85"/>
  <c r="K85"/>
  <c r="H85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J82"/>
  <c r="E82"/>
  <c r="W81"/>
  <c r="U81"/>
  <c r="R81"/>
  <c r="P81"/>
  <c r="N81"/>
  <c r="K81"/>
  <c r="E81"/>
  <c r="W80"/>
  <c r="U80"/>
  <c r="R80"/>
  <c r="P80"/>
  <c r="N80"/>
  <c r="K80"/>
  <c r="J80"/>
  <c r="E80"/>
  <c r="W79"/>
  <c r="U79"/>
  <c r="R79"/>
  <c r="P79"/>
  <c r="N79"/>
  <c r="K79"/>
  <c r="E79"/>
  <c r="W78"/>
  <c r="U78"/>
  <c r="R78"/>
  <c r="P78"/>
  <c r="N78"/>
  <c r="K78"/>
  <c r="J78"/>
  <c r="I78"/>
  <c r="E78"/>
  <c r="W77"/>
  <c r="U77"/>
  <c r="R77"/>
  <c r="P77"/>
  <c r="N77"/>
  <c r="K77"/>
  <c r="H77"/>
  <c r="D77" s="1"/>
  <c r="E77"/>
  <c r="W76"/>
  <c r="W74" s="1"/>
  <c r="W72" s="1"/>
  <c r="U76"/>
  <c r="R76"/>
  <c r="R74" s="1"/>
  <c r="P76"/>
  <c r="N76"/>
  <c r="N74" s="1"/>
  <c r="N72" s="1"/>
  <c r="K76"/>
  <c r="J76"/>
  <c r="I76"/>
  <c r="E76"/>
  <c r="E74" s="1"/>
  <c r="E72" s="1"/>
  <c r="W75"/>
  <c r="U75"/>
  <c r="U73" s="1"/>
  <c r="R75"/>
  <c r="P75"/>
  <c r="P73" s="1"/>
  <c r="N75"/>
  <c r="K75"/>
  <c r="H75"/>
  <c r="E75"/>
  <c r="E73" s="1"/>
  <c r="X74"/>
  <c r="V74"/>
  <c r="V72" s="1"/>
  <c r="T74"/>
  <c r="S74"/>
  <c r="S72" s="1"/>
  <c r="Q74"/>
  <c r="Q72" s="1"/>
  <c r="O74"/>
  <c r="M74"/>
  <c r="M72" s="1"/>
  <c r="L74"/>
  <c r="G74"/>
  <c r="G72" s="1"/>
  <c r="F74"/>
  <c r="F72" s="1"/>
  <c r="X73"/>
  <c r="V73"/>
  <c r="T73"/>
  <c r="S73"/>
  <c r="Q73"/>
  <c r="O73"/>
  <c r="M73"/>
  <c r="L73"/>
  <c r="J73"/>
  <c r="G73"/>
  <c r="F73"/>
  <c r="X72"/>
  <c r="T72"/>
  <c r="O72"/>
  <c r="W71"/>
  <c r="U71"/>
  <c r="R71"/>
  <c r="P71"/>
  <c r="N71"/>
  <c r="K71"/>
  <c r="I71"/>
  <c r="H71" s="1"/>
  <c r="W70"/>
  <c r="U70"/>
  <c r="R70"/>
  <c r="P70"/>
  <c r="N70"/>
  <c r="K70"/>
  <c r="W69"/>
  <c r="U69"/>
  <c r="R69"/>
  <c r="P69"/>
  <c r="N69"/>
  <c r="K69"/>
  <c r="H69"/>
  <c r="W68"/>
  <c r="U68"/>
  <c r="R68"/>
  <c r="P68"/>
  <c r="N68"/>
  <c r="K68"/>
  <c r="H68"/>
  <c r="W67"/>
  <c r="U67"/>
  <c r="R67"/>
  <c r="P67"/>
  <c r="N67"/>
  <c r="K67"/>
  <c r="I67"/>
  <c r="H67" s="1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K57"/>
  <c r="H57"/>
  <c r="E57"/>
  <c r="W56"/>
  <c r="U56"/>
  <c r="R56"/>
  <c r="P56"/>
  <c r="N56"/>
  <c r="K56"/>
  <c r="H56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H51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I48"/>
  <c r="H48" s="1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U42"/>
  <c r="R42"/>
  <c r="P42"/>
  <c r="N42"/>
  <c r="K42"/>
  <c r="H42"/>
  <c r="U41"/>
  <c r="R41"/>
  <c r="P41"/>
  <c r="N41"/>
  <c r="K41"/>
  <c r="I41"/>
  <c r="H41" s="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K37"/>
  <c r="H37"/>
  <c r="E37"/>
  <c r="W36"/>
  <c r="U36"/>
  <c r="R36"/>
  <c r="P36"/>
  <c r="N36"/>
  <c r="K36"/>
  <c r="H36"/>
  <c r="E36"/>
  <c r="W35"/>
  <c r="U35"/>
  <c r="R35"/>
  <c r="P35"/>
  <c r="N35"/>
  <c r="K35"/>
  <c r="H35"/>
  <c r="E35"/>
  <c r="W34"/>
  <c r="U34"/>
  <c r="R34"/>
  <c r="P34"/>
  <c r="K34"/>
  <c r="H34"/>
  <c r="E34"/>
  <c r="W33"/>
  <c r="U33"/>
  <c r="R33"/>
  <c r="P33"/>
  <c r="K33"/>
  <c r="H33"/>
  <c r="E33"/>
  <c r="W32"/>
  <c r="U32"/>
  <c r="R32"/>
  <c r="P32"/>
  <c r="N32"/>
  <c r="K32"/>
  <c r="H32"/>
  <c r="D32" s="1"/>
  <c r="W31"/>
  <c r="U31"/>
  <c r="R31"/>
  <c r="P31"/>
  <c r="N31"/>
  <c r="K31"/>
  <c r="H3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D28" s="1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D24" s="1"/>
  <c r="W23"/>
  <c r="U23"/>
  <c r="R23"/>
  <c r="P23"/>
  <c r="N23"/>
  <c r="M23"/>
  <c r="L23"/>
  <c r="J23"/>
  <c r="I23"/>
  <c r="W22"/>
  <c r="U22"/>
  <c r="R22"/>
  <c r="P22"/>
  <c r="N22"/>
  <c r="K22"/>
  <c r="H22"/>
  <c r="D22" s="1"/>
  <c r="W21"/>
  <c r="U21"/>
  <c r="R21"/>
  <c r="P21"/>
  <c r="N21"/>
  <c r="K21"/>
  <c r="H21"/>
  <c r="W20"/>
  <c r="U20"/>
  <c r="R20"/>
  <c r="P20"/>
  <c r="N20"/>
  <c r="K20"/>
  <c r="H20"/>
  <c r="E20"/>
  <c r="W19"/>
  <c r="U19"/>
  <c r="R19"/>
  <c r="P19"/>
  <c r="N19"/>
  <c r="K19"/>
  <c r="H19"/>
  <c r="E19"/>
  <c r="W18"/>
  <c r="W16" s="1"/>
  <c r="U18"/>
  <c r="R18"/>
  <c r="R16" s="1"/>
  <c r="P18"/>
  <c r="P16" s="1"/>
  <c r="N18"/>
  <c r="N16" s="1"/>
  <c r="K18"/>
  <c r="H18"/>
  <c r="E18"/>
  <c r="D18"/>
  <c r="W17"/>
  <c r="U17"/>
  <c r="U15" s="1"/>
  <c r="R17"/>
  <c r="P17"/>
  <c r="P15" s="1"/>
  <c r="N17"/>
  <c r="K17"/>
  <c r="H17"/>
  <c r="E17"/>
  <c r="E15" s="1"/>
  <c r="X16"/>
  <c r="V16"/>
  <c r="T16"/>
  <c r="S16"/>
  <c r="Q16"/>
  <c r="O16"/>
  <c r="M16"/>
  <c r="L16"/>
  <c r="J16"/>
  <c r="J13" s="1"/>
  <c r="I16"/>
  <c r="G16"/>
  <c r="G13" s="1"/>
  <c r="F16"/>
  <c r="F13" s="1"/>
  <c r="E16"/>
  <c r="E13" s="1"/>
  <c r="X15"/>
  <c r="V15"/>
  <c r="T15"/>
  <c r="S15"/>
  <c r="Q15"/>
  <c r="O15"/>
  <c r="M15"/>
  <c r="L15"/>
  <c r="J15"/>
  <c r="I15"/>
  <c r="G15"/>
  <c r="F15"/>
  <c r="K14"/>
  <c r="H14"/>
  <c r="L13"/>
  <c r="D150" l="1"/>
  <c r="D154"/>
  <c r="W98" i="31"/>
  <c r="D113" i="30"/>
  <c r="R128"/>
  <c r="D137"/>
  <c r="N15"/>
  <c r="W15"/>
  <c r="D38"/>
  <c r="D45"/>
  <c r="D50"/>
  <c r="D52"/>
  <c r="D54"/>
  <c r="D58"/>
  <c r="D63"/>
  <c r="U74"/>
  <c r="U72" s="1"/>
  <c r="D105"/>
  <c r="D109"/>
  <c r="D111"/>
  <c r="D112"/>
  <c r="K16"/>
  <c r="K74"/>
  <c r="H15"/>
  <c r="D17"/>
  <c r="R15"/>
  <c r="D20"/>
  <c r="D21"/>
  <c r="I13"/>
  <c r="D25"/>
  <c r="D29"/>
  <c r="D40"/>
  <c r="D41"/>
  <c r="D43"/>
  <c r="D60"/>
  <c r="D62"/>
  <c r="D64"/>
  <c r="D66"/>
  <c r="D68"/>
  <c r="D71"/>
  <c r="D75"/>
  <c r="H76"/>
  <c r="D83"/>
  <c r="N87"/>
  <c r="D91"/>
  <c r="D96"/>
  <c r="D121"/>
  <c r="D123"/>
  <c r="G25" i="3"/>
  <c r="W98" i="33"/>
  <c r="N98" i="31"/>
  <c r="D129" i="30"/>
  <c r="D131"/>
  <c r="D144"/>
  <c r="H82"/>
  <c r="D82" s="1"/>
  <c r="D128" i="32"/>
  <c r="E98" i="33"/>
  <c r="E98" i="31"/>
  <c r="D47" i="30"/>
  <c r="R72"/>
  <c r="D84"/>
  <c r="D86"/>
  <c r="D120"/>
  <c r="D149"/>
  <c r="D153"/>
  <c r="D55"/>
  <c r="D56"/>
  <c r="D57"/>
  <c r="R73"/>
  <c r="H78"/>
  <c r="D78" s="1"/>
  <c r="H81"/>
  <c r="D81" s="1"/>
  <c r="D107"/>
  <c r="D125"/>
  <c r="D127"/>
  <c r="D133"/>
  <c r="D135"/>
  <c r="D136"/>
  <c r="N140"/>
  <c r="W140"/>
  <c r="D146"/>
  <c r="R140"/>
  <c r="K139"/>
  <c r="D139" s="1"/>
  <c r="D152"/>
  <c r="D156"/>
  <c r="I73"/>
  <c r="H73" s="1"/>
  <c r="U98" i="33"/>
  <c r="M98" i="32"/>
  <c r="H13" i="30"/>
  <c r="R94"/>
  <c r="D39"/>
  <c r="D46"/>
  <c r="D49"/>
  <c r="D85"/>
  <c r="D95"/>
  <c r="D117"/>
  <c r="D119"/>
  <c r="D143"/>
  <c r="R139"/>
  <c r="D13" i="31"/>
  <c r="U16" i="30"/>
  <c r="H23"/>
  <c r="M13"/>
  <c r="D26"/>
  <c r="D30"/>
  <c r="D36"/>
  <c r="D61"/>
  <c r="D65"/>
  <c r="D69"/>
  <c r="N73"/>
  <c r="W73"/>
  <c r="J74"/>
  <c r="J72" s="1"/>
  <c r="D89"/>
  <c r="R87"/>
  <c r="U87"/>
  <c r="D103"/>
  <c r="D104"/>
  <c r="D115"/>
  <c r="D141"/>
  <c r="W139"/>
  <c r="P140"/>
  <c r="D145"/>
  <c r="E139"/>
  <c r="D151"/>
  <c r="D155"/>
  <c r="H80"/>
  <c r="D80" s="1"/>
  <c r="D87" i="31"/>
  <c r="P98"/>
  <c r="M98" i="30"/>
  <c r="V98"/>
  <c r="K13"/>
  <c r="D35"/>
  <c r="D51"/>
  <c r="X98"/>
  <c r="N98"/>
  <c r="D114"/>
  <c r="D122"/>
  <c r="D130"/>
  <c r="D138"/>
  <c r="N139"/>
  <c r="D142"/>
  <c r="K16" i="32"/>
  <c r="D16" s="1"/>
  <c r="D34" i="30"/>
  <c r="D37"/>
  <c r="D44"/>
  <c r="D53"/>
  <c r="L72"/>
  <c r="K72" s="1"/>
  <c r="D76"/>
  <c r="P74"/>
  <c r="P72" s="1"/>
  <c r="P98" s="1"/>
  <c r="H79"/>
  <c r="D79" s="1"/>
  <c r="O98"/>
  <c r="S98"/>
  <c r="W87"/>
  <c r="E87"/>
  <c r="E98" s="1"/>
  <c r="F98"/>
  <c r="J98"/>
  <c r="W94"/>
  <c r="D108"/>
  <c r="D116"/>
  <c r="D124"/>
  <c r="D132"/>
  <c r="H15" i="32"/>
  <c r="D15" s="1"/>
  <c r="Q98" i="30"/>
  <c r="D59"/>
  <c r="D106"/>
  <c r="D14"/>
  <c r="K15"/>
  <c r="D15" s="1"/>
  <c r="H16"/>
  <c r="D16" s="1"/>
  <c r="D19"/>
  <c r="K23"/>
  <c r="D27"/>
  <c r="D31"/>
  <c r="D33"/>
  <c r="D42"/>
  <c r="D48"/>
  <c r="D67"/>
  <c r="K73"/>
  <c r="D73" s="1"/>
  <c r="G98"/>
  <c r="K87"/>
  <c r="D87" s="1"/>
  <c r="D90"/>
  <c r="L98"/>
  <c r="K98" s="1"/>
  <c r="M100" s="1"/>
  <c r="T98"/>
  <c r="D102"/>
  <c r="D110"/>
  <c r="D118"/>
  <c r="D126"/>
  <c r="H128"/>
  <c r="D134"/>
  <c r="D94" i="32"/>
  <c r="D128" i="33"/>
  <c r="I100" i="31"/>
  <c r="D97"/>
  <c r="L72"/>
  <c r="K74"/>
  <c r="D74" s="1"/>
  <c r="I98"/>
  <c r="H98" s="1"/>
  <c r="I74" i="30"/>
  <c r="U98"/>
  <c r="W98"/>
  <c r="I70"/>
  <c r="H70" s="1"/>
  <c r="D70" s="1"/>
  <c r="H93"/>
  <c r="D93" s="1"/>
  <c r="K94"/>
  <c r="D94" s="1"/>
  <c r="H97"/>
  <c r="I150" i="29"/>
  <c r="I150" i="32" s="1"/>
  <c r="I149" i="29"/>
  <c r="I149" i="32" s="1"/>
  <c r="I144" i="29"/>
  <c r="I144" i="32" s="1"/>
  <c r="I143" i="29"/>
  <c r="I143" i="32" s="1"/>
  <c r="I154" i="29"/>
  <c r="I154" i="32" s="1"/>
  <c r="I153" i="29"/>
  <c r="I153" i="32" s="1"/>
  <c r="D23" i="30" l="1"/>
  <c r="R98"/>
  <c r="D13"/>
  <c r="I139" i="29"/>
  <c r="D128" i="30"/>
  <c r="I140" i="29"/>
  <c r="K72" i="31"/>
  <c r="D72" s="1"/>
  <c r="L98"/>
  <c r="K98" s="1"/>
  <c r="M100" s="1"/>
  <c r="H74" i="30"/>
  <c r="D74" s="1"/>
  <c r="I72"/>
  <c r="I100"/>
  <c r="D97"/>
  <c r="I97" i="29"/>
  <c r="I91"/>
  <c r="I90"/>
  <c r="I34"/>
  <c r="I33"/>
  <c r="I93"/>
  <c r="I92"/>
  <c r="I84"/>
  <c r="I83"/>
  <c r="I51"/>
  <c r="I50"/>
  <c r="I82"/>
  <c r="I81"/>
  <c r="I80"/>
  <c r="I79"/>
  <c r="I78"/>
  <c r="I77"/>
  <c r="I76"/>
  <c r="I75"/>
  <c r="L84"/>
  <c r="L84" i="32" s="1"/>
  <c r="K84" s="1"/>
  <c r="L83" i="29"/>
  <c r="L83" i="32" s="1"/>
  <c r="K83" s="1"/>
  <c r="L51" i="29"/>
  <c r="L51" i="32" s="1"/>
  <c r="K51" s="1"/>
  <c r="L34" i="29"/>
  <c r="L34" i="32" s="1"/>
  <c r="L33" i="29"/>
  <c r="L33" i="32" s="1"/>
  <c r="I86" i="29"/>
  <c r="I85"/>
  <c r="L81"/>
  <c r="L81" i="32" s="1"/>
  <c r="K81" s="1"/>
  <c r="L82" i="29"/>
  <c r="L82" i="32" s="1"/>
  <c r="K82" s="1"/>
  <c r="L78" i="29"/>
  <c r="L77"/>
  <c r="L97"/>
  <c r="I43"/>
  <c r="I42"/>
  <c r="K34" i="32" l="1"/>
  <c r="L13"/>
  <c r="K13" s="1"/>
  <c r="K33"/>
  <c r="D98" i="31"/>
  <c r="E99" s="1"/>
  <c r="J100" s="1"/>
  <c r="H72" i="30"/>
  <c r="D72" s="1"/>
  <c r="I98"/>
  <c r="H98" s="1"/>
  <c r="D98" s="1"/>
  <c r="E99" s="1"/>
  <c r="J100" s="1"/>
  <c r="I67" i="29"/>
  <c r="I67" i="32" s="1"/>
  <c r="H67" s="1"/>
  <c r="D67" s="1"/>
  <c r="I66" i="29"/>
  <c r="I66" i="32" s="1"/>
  <c r="H66" s="1"/>
  <c r="D66" s="1"/>
  <c r="I45" i="29"/>
  <c r="I45" i="32" s="1"/>
  <c r="I44" i="29"/>
  <c r="I44" i="32" s="1"/>
  <c r="I89" i="29"/>
  <c r="I88"/>
  <c r="I53"/>
  <c r="I52"/>
  <c r="H45" i="32" l="1"/>
  <c r="D45" s="1"/>
  <c r="H44"/>
  <c r="D44" s="1"/>
  <c r="L89" i="29"/>
  <c r="L89" i="32" s="1"/>
  <c r="L88" i="29"/>
  <c r="L88" i="32" s="1"/>
  <c r="K89" l="1"/>
  <c r="K88"/>
  <c r="L93" i="29"/>
  <c r="L93" i="32" s="1"/>
  <c r="K93" s="1"/>
  <c r="L92" i="29"/>
  <c r="L92" i="32" s="1"/>
  <c r="K92" s="1"/>
  <c r="L91" i="29"/>
  <c r="L91" i="32" s="1"/>
  <c r="L90" i="29"/>
  <c r="L90" i="32" s="1"/>
  <c r="K91" l="1"/>
  <c r="L87"/>
  <c r="K87" s="1"/>
  <c r="K90"/>
  <c r="W156" i="29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D154" s="1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D150" s="1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U142"/>
  <c r="U140" s="1"/>
  <c r="R142"/>
  <c r="P142"/>
  <c r="N142"/>
  <c r="K142"/>
  <c r="E142"/>
  <c r="W141"/>
  <c r="U141"/>
  <c r="R141"/>
  <c r="P141"/>
  <c r="N141"/>
  <c r="K141"/>
  <c r="E141"/>
  <c r="E139" s="1"/>
  <c r="X140"/>
  <c r="V140"/>
  <c r="T140"/>
  <c r="S140"/>
  <c r="Q140"/>
  <c r="O140"/>
  <c r="M140"/>
  <c r="L140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R128" s="1"/>
  <c r="Q128"/>
  <c r="P128" s="1"/>
  <c r="O128"/>
  <c r="N128" s="1"/>
  <c r="M128"/>
  <c r="L128"/>
  <c r="K128" s="1"/>
  <c r="J128"/>
  <c r="I128"/>
  <c r="H128" s="1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D125" s="1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K97"/>
  <c r="H97"/>
  <c r="I100" s="1"/>
  <c r="E97"/>
  <c r="W96"/>
  <c r="U96"/>
  <c r="R96"/>
  <c r="P96"/>
  <c r="N96"/>
  <c r="K96"/>
  <c r="H96"/>
  <c r="E96"/>
  <c r="W95"/>
  <c r="W94" s="1"/>
  <c r="U95"/>
  <c r="R95"/>
  <c r="R94" s="1"/>
  <c r="P95"/>
  <c r="N95"/>
  <c r="N94" s="1"/>
  <c r="K95"/>
  <c r="H95"/>
  <c r="E95"/>
  <c r="X94"/>
  <c r="V94"/>
  <c r="U94"/>
  <c r="T94"/>
  <c r="S94"/>
  <c r="Q94"/>
  <c r="O94"/>
  <c r="M94"/>
  <c r="L94"/>
  <c r="J94"/>
  <c r="H93" s="1"/>
  <c r="I94"/>
  <c r="G94"/>
  <c r="F94"/>
  <c r="E94"/>
  <c r="W93"/>
  <c r="U93"/>
  <c r="R93"/>
  <c r="P93"/>
  <c r="N93"/>
  <c r="K93"/>
  <c r="E93"/>
  <c r="W92"/>
  <c r="U92"/>
  <c r="R92"/>
  <c r="P92"/>
  <c r="N92"/>
  <c r="K92"/>
  <c r="H92"/>
  <c r="E92"/>
  <c r="W91"/>
  <c r="U91"/>
  <c r="R91"/>
  <c r="P91"/>
  <c r="N91"/>
  <c r="K91"/>
  <c r="H91"/>
  <c r="E91"/>
  <c r="W90"/>
  <c r="U90"/>
  <c r="R90"/>
  <c r="P90"/>
  <c r="N90"/>
  <c r="K90"/>
  <c r="H90"/>
  <c r="W89"/>
  <c r="U89"/>
  <c r="R89"/>
  <c r="P89"/>
  <c r="N89"/>
  <c r="K89"/>
  <c r="H89"/>
  <c r="E89"/>
  <c r="W88"/>
  <c r="U88"/>
  <c r="R88"/>
  <c r="P88"/>
  <c r="N88"/>
  <c r="K88"/>
  <c r="H88"/>
  <c r="E88"/>
  <c r="X87"/>
  <c r="V87"/>
  <c r="U87"/>
  <c r="T87"/>
  <c r="S87"/>
  <c r="Q87"/>
  <c r="O87"/>
  <c r="M87"/>
  <c r="L87"/>
  <c r="J87"/>
  <c r="I87"/>
  <c r="G87"/>
  <c r="F87"/>
  <c r="E87"/>
  <c r="W86"/>
  <c r="U86"/>
  <c r="R86"/>
  <c r="P86"/>
  <c r="N86"/>
  <c r="K86"/>
  <c r="H86"/>
  <c r="E86"/>
  <c r="W85"/>
  <c r="U85"/>
  <c r="R85"/>
  <c r="P85"/>
  <c r="N85"/>
  <c r="K85"/>
  <c r="H85"/>
  <c r="D85" s="1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H82"/>
  <c r="E82"/>
  <c r="W81"/>
  <c r="U81"/>
  <c r="R81"/>
  <c r="P81"/>
  <c r="N81"/>
  <c r="K81"/>
  <c r="H81"/>
  <c r="E81"/>
  <c r="W80"/>
  <c r="U80"/>
  <c r="R80"/>
  <c r="P80"/>
  <c r="N80"/>
  <c r="K80"/>
  <c r="H80"/>
  <c r="E80"/>
  <c r="W79"/>
  <c r="U79"/>
  <c r="R79"/>
  <c r="P79"/>
  <c r="N79"/>
  <c r="K79"/>
  <c r="H79"/>
  <c r="E79"/>
  <c r="W78"/>
  <c r="U78"/>
  <c r="R78"/>
  <c r="P78"/>
  <c r="N78"/>
  <c r="K78"/>
  <c r="H78"/>
  <c r="E78"/>
  <c r="W77"/>
  <c r="U77"/>
  <c r="R77"/>
  <c r="P77"/>
  <c r="N77"/>
  <c r="K77"/>
  <c r="H77"/>
  <c r="E77"/>
  <c r="W76"/>
  <c r="W74" s="1"/>
  <c r="W72" s="1"/>
  <c r="U76"/>
  <c r="R76"/>
  <c r="R74" s="1"/>
  <c r="R72" s="1"/>
  <c r="P76"/>
  <c r="P74" s="1"/>
  <c r="P72" s="1"/>
  <c r="N76"/>
  <c r="K76"/>
  <c r="H76"/>
  <c r="D76" s="1"/>
  <c r="E76"/>
  <c r="E74" s="1"/>
  <c r="E72" s="1"/>
  <c r="W75"/>
  <c r="W73" s="1"/>
  <c r="U75"/>
  <c r="R75"/>
  <c r="R73" s="1"/>
  <c r="P75"/>
  <c r="P73" s="1"/>
  <c r="N75"/>
  <c r="N73" s="1"/>
  <c r="K75"/>
  <c r="H75"/>
  <c r="D75" s="1"/>
  <c r="E75"/>
  <c r="E73" s="1"/>
  <c r="X74"/>
  <c r="X72" s="1"/>
  <c r="V74"/>
  <c r="U74"/>
  <c r="T74"/>
  <c r="T72" s="1"/>
  <c r="S74"/>
  <c r="S72" s="1"/>
  <c r="Q74"/>
  <c r="O74"/>
  <c r="N74"/>
  <c r="M74"/>
  <c r="L74"/>
  <c r="J74"/>
  <c r="J72" s="1"/>
  <c r="G74"/>
  <c r="G72" s="1"/>
  <c r="F74"/>
  <c r="X73"/>
  <c r="V73"/>
  <c r="U73"/>
  <c r="T73"/>
  <c r="S73"/>
  <c r="Q73"/>
  <c r="O73"/>
  <c r="M73"/>
  <c r="L73"/>
  <c r="J73"/>
  <c r="I73"/>
  <c r="G73"/>
  <c r="F73"/>
  <c r="V72"/>
  <c r="U72"/>
  <c r="Q72"/>
  <c r="O72"/>
  <c r="N72"/>
  <c r="M72"/>
  <c r="F72"/>
  <c r="W71"/>
  <c r="U71"/>
  <c r="R71"/>
  <c r="P71"/>
  <c r="N71"/>
  <c r="K71"/>
  <c r="H71"/>
  <c r="W70"/>
  <c r="U70"/>
  <c r="R70"/>
  <c r="P70"/>
  <c r="N70"/>
  <c r="K70"/>
  <c r="H70"/>
  <c r="D70" s="1"/>
  <c r="W69"/>
  <c r="U69"/>
  <c r="R69"/>
  <c r="P69"/>
  <c r="N69"/>
  <c r="K69"/>
  <c r="H69"/>
  <c r="W68"/>
  <c r="U68"/>
  <c r="R68"/>
  <c r="P68"/>
  <c r="N68"/>
  <c r="K68"/>
  <c r="H68"/>
  <c r="D68" s="1"/>
  <c r="W67"/>
  <c r="U67"/>
  <c r="R67"/>
  <c r="P67"/>
  <c r="N67"/>
  <c r="K67"/>
  <c r="H67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H57"/>
  <c r="D57" s="1"/>
  <c r="E57"/>
  <c r="W56"/>
  <c r="U56"/>
  <c r="R56"/>
  <c r="P56"/>
  <c r="N56"/>
  <c r="H56"/>
  <c r="D56" s="1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D100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H48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U42"/>
  <c r="R42"/>
  <c r="P42"/>
  <c r="N42"/>
  <c r="K42"/>
  <c r="H42"/>
  <c r="U41"/>
  <c r="R41"/>
  <c r="P41"/>
  <c r="N41"/>
  <c r="K41"/>
  <c r="H4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K37"/>
  <c r="H37"/>
  <c r="E37"/>
  <c r="W36"/>
  <c r="U36"/>
  <c r="R36"/>
  <c r="P36"/>
  <c r="N36"/>
  <c r="K36"/>
  <c r="H36"/>
  <c r="E36"/>
  <c r="W35"/>
  <c r="U35"/>
  <c r="R35"/>
  <c r="P35"/>
  <c r="N35"/>
  <c r="K35"/>
  <c r="H35"/>
  <c r="E35"/>
  <c r="W34"/>
  <c r="U34"/>
  <c r="R34"/>
  <c r="P34"/>
  <c r="K34"/>
  <c r="H34"/>
  <c r="E34"/>
  <c r="W33"/>
  <c r="U33"/>
  <c r="R33"/>
  <c r="P33"/>
  <c r="K33"/>
  <c r="H33"/>
  <c r="E33"/>
  <c r="W32"/>
  <c r="U32"/>
  <c r="R32"/>
  <c r="P32"/>
  <c r="N32"/>
  <c r="K32"/>
  <c r="H32"/>
  <c r="W31"/>
  <c r="U31"/>
  <c r="R31"/>
  <c r="P31"/>
  <c r="N31"/>
  <c r="K31"/>
  <c r="H3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J23"/>
  <c r="I23"/>
  <c r="H23" s="1"/>
  <c r="W22"/>
  <c r="U22"/>
  <c r="R22"/>
  <c r="P22"/>
  <c r="N22"/>
  <c r="K22"/>
  <c r="H22"/>
  <c r="W21"/>
  <c r="U21"/>
  <c r="R21"/>
  <c r="P21"/>
  <c r="N21"/>
  <c r="K21"/>
  <c r="H21"/>
  <c r="D21" s="1"/>
  <c r="W20"/>
  <c r="U20"/>
  <c r="R20"/>
  <c r="P20"/>
  <c r="N20"/>
  <c r="H20"/>
  <c r="E20"/>
  <c r="D20"/>
  <c r="W19"/>
  <c r="U19"/>
  <c r="R19"/>
  <c r="P19"/>
  <c r="N19"/>
  <c r="H19"/>
  <c r="D19" s="1"/>
  <c r="E19"/>
  <c r="W18"/>
  <c r="U18"/>
  <c r="R18"/>
  <c r="P18"/>
  <c r="N18"/>
  <c r="N16" s="1"/>
  <c r="H18"/>
  <c r="D18" s="1"/>
  <c r="E18"/>
  <c r="W17"/>
  <c r="W15" s="1"/>
  <c r="U17"/>
  <c r="U15" s="1"/>
  <c r="R17"/>
  <c r="P17"/>
  <c r="N17"/>
  <c r="D17"/>
  <c r="H17"/>
  <c r="E17"/>
  <c r="X16"/>
  <c r="W16"/>
  <c r="V16"/>
  <c r="T16"/>
  <c r="S16"/>
  <c r="R16"/>
  <c r="Q16"/>
  <c r="O16"/>
  <c r="M16"/>
  <c r="L16"/>
  <c r="J16"/>
  <c r="J13" s="1"/>
  <c r="I16"/>
  <c r="I13" s="1"/>
  <c r="G16"/>
  <c r="G13" s="1"/>
  <c r="F16"/>
  <c r="F13" s="1"/>
  <c r="X15"/>
  <c r="V15"/>
  <c r="T15"/>
  <c r="S15"/>
  <c r="R15"/>
  <c r="Q15"/>
  <c r="O15"/>
  <c r="M15"/>
  <c r="L15"/>
  <c r="J15"/>
  <c r="I15"/>
  <c r="G15"/>
  <c r="F15"/>
  <c r="K14"/>
  <c r="H14"/>
  <c r="M13"/>
  <c r="I148" i="28"/>
  <c r="I148" i="32" s="1"/>
  <c r="I147" i="28"/>
  <c r="I147" i="32" s="1"/>
  <c r="J51" i="28"/>
  <c r="J51" i="32" s="1"/>
  <c r="J13" s="1"/>
  <c r="J98" s="1"/>
  <c r="J50" i="28"/>
  <c r="J50" i="32" s="1"/>
  <c r="D69" i="29" l="1"/>
  <c r="D71"/>
  <c r="D44"/>
  <c r="D53"/>
  <c r="D54"/>
  <c r="D60"/>
  <c r="D62"/>
  <c r="D64"/>
  <c r="D117"/>
  <c r="P16"/>
  <c r="U16"/>
  <c r="D36"/>
  <c r="D38"/>
  <c r="D95"/>
  <c r="K87"/>
  <c r="E15"/>
  <c r="E16"/>
  <c r="E13" s="1"/>
  <c r="E98" s="1"/>
  <c r="D109"/>
  <c r="D111"/>
  <c r="D133"/>
  <c r="D135"/>
  <c r="W139"/>
  <c r="P140"/>
  <c r="P15"/>
  <c r="K23"/>
  <c r="D23" s="1"/>
  <c r="D25"/>
  <c r="D27"/>
  <c r="D29"/>
  <c r="D31"/>
  <c r="D40"/>
  <c r="D41"/>
  <c r="D42"/>
  <c r="D43"/>
  <c r="D48"/>
  <c r="D58"/>
  <c r="D63"/>
  <c r="D67"/>
  <c r="K74"/>
  <c r="K94"/>
  <c r="K139"/>
  <c r="D139" s="1"/>
  <c r="D144"/>
  <c r="D105"/>
  <c r="D107"/>
  <c r="D129"/>
  <c r="D132"/>
  <c r="D143"/>
  <c r="D35"/>
  <c r="D52"/>
  <c r="N87"/>
  <c r="W87"/>
  <c r="D113"/>
  <c r="D115"/>
  <c r="D116"/>
  <c r="D127"/>
  <c r="D137"/>
  <c r="D142"/>
  <c r="W140"/>
  <c r="D146"/>
  <c r="P139"/>
  <c r="E140"/>
  <c r="R140"/>
  <c r="U139"/>
  <c r="D152"/>
  <c r="D156"/>
  <c r="I140" i="28"/>
  <c r="D108" i="29"/>
  <c r="D119"/>
  <c r="D131"/>
  <c r="D149"/>
  <c r="D153"/>
  <c r="K16"/>
  <c r="N15"/>
  <c r="D22"/>
  <c r="D24"/>
  <c r="D28"/>
  <c r="D32"/>
  <c r="D46"/>
  <c r="D47"/>
  <c r="D55"/>
  <c r="D61"/>
  <c r="D65"/>
  <c r="K73"/>
  <c r="R87"/>
  <c r="R98" s="1"/>
  <c r="D103"/>
  <c r="D121"/>
  <c r="D123"/>
  <c r="D124"/>
  <c r="N139"/>
  <c r="D145"/>
  <c r="R139"/>
  <c r="K140"/>
  <c r="D140" s="1"/>
  <c r="D151"/>
  <c r="D155"/>
  <c r="U98"/>
  <c r="I139" i="32"/>
  <c r="D49" i="29"/>
  <c r="P87"/>
  <c r="Q98"/>
  <c r="D118"/>
  <c r="D134"/>
  <c r="I140" i="32"/>
  <c r="L13" i="29"/>
  <c r="K13" s="1"/>
  <c r="H73"/>
  <c r="D73" s="1"/>
  <c r="G98"/>
  <c r="S98"/>
  <c r="D104"/>
  <c r="D112"/>
  <c r="D120"/>
  <c r="E128"/>
  <c r="D136"/>
  <c r="N140"/>
  <c r="O98"/>
  <c r="F98"/>
  <c r="V98"/>
  <c r="P94"/>
  <c r="D102"/>
  <c r="D110"/>
  <c r="D126"/>
  <c r="D141"/>
  <c r="I139" i="28"/>
  <c r="K15" i="29"/>
  <c r="H16"/>
  <c r="D26"/>
  <c r="D30"/>
  <c r="D66"/>
  <c r="H87"/>
  <c r="T98"/>
  <c r="X98"/>
  <c r="D96"/>
  <c r="D106"/>
  <c r="D114"/>
  <c r="D122"/>
  <c r="D130"/>
  <c r="D128" s="1"/>
  <c r="D138"/>
  <c r="H15"/>
  <c r="D14"/>
  <c r="M98"/>
  <c r="D50"/>
  <c r="D59"/>
  <c r="D34"/>
  <c r="D84"/>
  <c r="D83"/>
  <c r="D33"/>
  <c r="D80"/>
  <c r="D89"/>
  <c r="D88"/>
  <c r="D97"/>
  <c r="D93"/>
  <c r="D92"/>
  <c r="D91"/>
  <c r="D90"/>
  <c r="L72"/>
  <c r="K72" s="1"/>
  <c r="D77"/>
  <c r="D86"/>
  <c r="D82"/>
  <c r="D81"/>
  <c r="D78"/>
  <c r="H13"/>
  <c r="D13" s="1"/>
  <c r="D45"/>
  <c r="D39"/>
  <c r="D37"/>
  <c r="D16"/>
  <c r="J98"/>
  <c r="N98"/>
  <c r="W98"/>
  <c r="D79"/>
  <c r="H51"/>
  <c r="D51" s="1"/>
  <c r="I74"/>
  <c r="H94"/>
  <c r="D94" s="1"/>
  <c r="I93" i="28"/>
  <c r="I93" i="32" s="1"/>
  <c r="I92" i="28"/>
  <c r="I92" i="32" s="1"/>
  <c r="I91" i="28"/>
  <c r="I91" i="32" s="1"/>
  <c r="I90" i="28"/>
  <c r="I90" i="32" s="1"/>
  <c r="I34" i="28"/>
  <c r="I34" i="32" s="1"/>
  <c r="I33" i="28"/>
  <c r="I33" i="32" s="1"/>
  <c r="I97" i="28"/>
  <c r="I97" i="32" s="1"/>
  <c r="I86" i="28"/>
  <c r="I86" i="32" s="1"/>
  <c r="I85" i="28"/>
  <c r="I85" i="32" s="1"/>
  <c r="I78" i="28"/>
  <c r="I78" i="32" s="1"/>
  <c r="I77" i="28"/>
  <c r="I77" i="32" s="1"/>
  <c r="I76" i="28"/>
  <c r="I76" i="32" s="1"/>
  <c r="I75" i="28"/>
  <c r="I75" i="32" s="1"/>
  <c r="I51" i="28"/>
  <c r="I51" i="32" s="1"/>
  <c r="I50" i="28"/>
  <c r="I50" i="32" s="1"/>
  <c r="I80" i="28"/>
  <c r="I80" i="32" s="1"/>
  <c r="I79" i="28"/>
  <c r="I79" i="32" s="1"/>
  <c r="I82" i="28"/>
  <c r="I82" i="32" s="1"/>
  <c r="I81" i="28"/>
  <c r="I81" i="32" s="1"/>
  <c r="D87" i="29" l="1"/>
  <c r="P98"/>
  <c r="H82" i="32"/>
  <c r="D82" s="1"/>
  <c r="H78"/>
  <c r="H92"/>
  <c r="D92" s="1"/>
  <c r="H85"/>
  <c r="H93"/>
  <c r="D93" s="1"/>
  <c r="H80"/>
  <c r="I74"/>
  <c r="H76"/>
  <c r="D76" s="1"/>
  <c r="H86"/>
  <c r="H90"/>
  <c r="D90" s="1"/>
  <c r="D15" i="29"/>
  <c r="D100" i="32"/>
  <c r="H51"/>
  <c r="D51" s="1"/>
  <c r="H33"/>
  <c r="D33" s="1"/>
  <c r="H79"/>
  <c r="I73"/>
  <c r="H73" s="1"/>
  <c r="H75"/>
  <c r="D75" s="1"/>
  <c r="H34"/>
  <c r="D34" s="1"/>
  <c r="H81"/>
  <c r="D81" s="1"/>
  <c r="H50"/>
  <c r="D50" s="1"/>
  <c r="H77"/>
  <c r="H97"/>
  <c r="H91"/>
  <c r="D91" s="1"/>
  <c r="L98" i="29"/>
  <c r="K98" s="1"/>
  <c r="M100" s="1"/>
  <c r="H74"/>
  <c r="D74" s="1"/>
  <c r="I72"/>
  <c r="I53" i="28"/>
  <c r="I53" i="32" s="1"/>
  <c r="I52" i="28"/>
  <c r="I52" i="32" s="1"/>
  <c r="I84" i="28"/>
  <c r="I84" i="32" s="1"/>
  <c r="I83" i="28"/>
  <c r="I83" i="32" s="1"/>
  <c r="L78" i="28"/>
  <c r="L78" i="32" s="1"/>
  <c r="L77" i="28"/>
  <c r="L77" i="32" s="1"/>
  <c r="I89" i="28"/>
  <c r="I89" i="32" s="1"/>
  <c r="I88" i="28"/>
  <c r="I88" i="32" s="1"/>
  <c r="I55" i="28"/>
  <c r="I55" i="32" s="1"/>
  <c r="I54" i="28"/>
  <c r="I54" i="32" s="1"/>
  <c r="L86" i="28"/>
  <c r="L86" i="32" s="1"/>
  <c r="K86" s="1"/>
  <c r="L85" i="28"/>
  <c r="L85" i="32" s="1"/>
  <c r="K85" s="1"/>
  <c r="L97" i="28"/>
  <c r="L97" i="32" s="1"/>
  <c r="I43" i="28"/>
  <c r="I43" i="32" s="1"/>
  <c r="I42" i="28"/>
  <c r="I42" i="32" s="1"/>
  <c r="L80" i="28"/>
  <c r="L80" i="32" s="1"/>
  <c r="K80" s="1"/>
  <c r="L79" i="28"/>
  <c r="L79" i="32" s="1"/>
  <c r="K79" s="1"/>
  <c r="W156" i="28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U142"/>
  <c r="U140" s="1"/>
  <c r="R142"/>
  <c r="P142"/>
  <c r="N142"/>
  <c r="K142"/>
  <c r="K140" s="1"/>
  <c r="D140" s="1"/>
  <c r="E142"/>
  <c r="W141"/>
  <c r="U141"/>
  <c r="R141"/>
  <c r="R139" s="1"/>
  <c r="P141"/>
  <c r="P139" s="1"/>
  <c r="N141"/>
  <c r="K141"/>
  <c r="E141"/>
  <c r="E139" s="1"/>
  <c r="X140"/>
  <c r="V140"/>
  <c r="T140"/>
  <c r="S140"/>
  <c r="R140"/>
  <c r="Q140"/>
  <c r="O140"/>
  <c r="M140"/>
  <c r="L140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D100"/>
  <c r="W97"/>
  <c r="U97"/>
  <c r="R97"/>
  <c r="P97"/>
  <c r="N97"/>
  <c r="E97"/>
  <c r="W96"/>
  <c r="U96"/>
  <c r="R96"/>
  <c r="P96"/>
  <c r="N96"/>
  <c r="K96"/>
  <c r="H96"/>
  <c r="E96"/>
  <c r="W95"/>
  <c r="U95"/>
  <c r="U94" s="1"/>
  <c r="R95"/>
  <c r="P95"/>
  <c r="P94" s="1"/>
  <c r="N95"/>
  <c r="K95"/>
  <c r="H95"/>
  <c r="E95"/>
  <c r="E94" s="1"/>
  <c r="X94"/>
  <c r="V94"/>
  <c r="T94"/>
  <c r="S94"/>
  <c r="Q94"/>
  <c r="O94"/>
  <c r="M94"/>
  <c r="L94"/>
  <c r="J94"/>
  <c r="I94"/>
  <c r="G94"/>
  <c r="F94"/>
  <c r="W93"/>
  <c r="U93"/>
  <c r="R93"/>
  <c r="P93"/>
  <c r="N93"/>
  <c r="K93"/>
  <c r="E93"/>
  <c r="W92"/>
  <c r="U92"/>
  <c r="R92"/>
  <c r="P92"/>
  <c r="N92"/>
  <c r="K92"/>
  <c r="H92"/>
  <c r="E92"/>
  <c r="W91"/>
  <c r="U91"/>
  <c r="R91"/>
  <c r="P91"/>
  <c r="N91"/>
  <c r="K91"/>
  <c r="H91"/>
  <c r="E91"/>
  <c r="W90"/>
  <c r="U90"/>
  <c r="R90"/>
  <c r="P90"/>
  <c r="N90"/>
  <c r="K90"/>
  <c r="H90"/>
  <c r="W89"/>
  <c r="U89"/>
  <c r="R89"/>
  <c r="P89"/>
  <c r="N89"/>
  <c r="K89"/>
  <c r="E89"/>
  <c r="E87" s="1"/>
  <c r="W88"/>
  <c r="U88"/>
  <c r="R88"/>
  <c r="P88"/>
  <c r="N88"/>
  <c r="K88"/>
  <c r="H88"/>
  <c r="E88"/>
  <c r="X87"/>
  <c r="V87"/>
  <c r="T87"/>
  <c r="S87"/>
  <c r="Q87"/>
  <c r="O87"/>
  <c r="M87"/>
  <c r="L87"/>
  <c r="J87"/>
  <c r="I87"/>
  <c r="G87"/>
  <c r="F87"/>
  <c r="W86"/>
  <c r="U86"/>
  <c r="R86"/>
  <c r="P86"/>
  <c r="N86"/>
  <c r="K86"/>
  <c r="H86"/>
  <c r="E86"/>
  <c r="W85"/>
  <c r="U85"/>
  <c r="R85"/>
  <c r="P85"/>
  <c r="N85"/>
  <c r="H85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H82"/>
  <c r="E82"/>
  <c r="W81"/>
  <c r="U81"/>
  <c r="R81"/>
  <c r="P81"/>
  <c r="N81"/>
  <c r="K81"/>
  <c r="H81"/>
  <c r="E81"/>
  <c r="W80"/>
  <c r="U80"/>
  <c r="R80"/>
  <c r="P80"/>
  <c r="N80"/>
  <c r="K80"/>
  <c r="H80"/>
  <c r="E80"/>
  <c r="W79"/>
  <c r="U79"/>
  <c r="R79"/>
  <c r="P79"/>
  <c r="N79"/>
  <c r="H79"/>
  <c r="E79"/>
  <c r="W78"/>
  <c r="U78"/>
  <c r="R78"/>
  <c r="P78"/>
  <c r="N78"/>
  <c r="H78"/>
  <c r="E78"/>
  <c r="W77"/>
  <c r="U77"/>
  <c r="R77"/>
  <c r="P77"/>
  <c r="N77"/>
  <c r="K77"/>
  <c r="H77"/>
  <c r="E77"/>
  <c r="W76"/>
  <c r="W74" s="1"/>
  <c r="U76"/>
  <c r="U74" s="1"/>
  <c r="R76"/>
  <c r="P76"/>
  <c r="P74" s="1"/>
  <c r="N76"/>
  <c r="N74" s="1"/>
  <c r="K76"/>
  <c r="H76"/>
  <c r="E76"/>
  <c r="W75"/>
  <c r="W73" s="1"/>
  <c r="U75"/>
  <c r="U73" s="1"/>
  <c r="R75"/>
  <c r="P75"/>
  <c r="N75"/>
  <c r="N73" s="1"/>
  <c r="K75"/>
  <c r="H75"/>
  <c r="E75"/>
  <c r="X74"/>
  <c r="X72" s="1"/>
  <c r="V74"/>
  <c r="V72" s="1"/>
  <c r="T74"/>
  <c r="T72" s="1"/>
  <c r="S74"/>
  <c r="S72" s="1"/>
  <c r="Q74"/>
  <c r="Q72" s="1"/>
  <c r="O74"/>
  <c r="O72" s="1"/>
  <c r="M74"/>
  <c r="J74"/>
  <c r="J72" s="1"/>
  <c r="I74"/>
  <c r="G74"/>
  <c r="G72" s="1"/>
  <c r="F74"/>
  <c r="F72" s="1"/>
  <c r="E74"/>
  <c r="X73"/>
  <c r="V73"/>
  <c r="T73"/>
  <c r="S73"/>
  <c r="Q73"/>
  <c r="P73"/>
  <c r="O73"/>
  <c r="M73"/>
  <c r="J73"/>
  <c r="I73"/>
  <c r="G73"/>
  <c r="F73"/>
  <c r="E73"/>
  <c r="M72"/>
  <c r="W71"/>
  <c r="U71"/>
  <c r="R71"/>
  <c r="P71"/>
  <c r="N71"/>
  <c r="K71"/>
  <c r="H71"/>
  <c r="W70"/>
  <c r="U70"/>
  <c r="R70"/>
  <c r="P70"/>
  <c r="N70"/>
  <c r="K70"/>
  <c r="W69"/>
  <c r="U69"/>
  <c r="R69"/>
  <c r="P69"/>
  <c r="N69"/>
  <c r="K69"/>
  <c r="H69"/>
  <c r="W68"/>
  <c r="U68"/>
  <c r="R68"/>
  <c r="P68"/>
  <c r="N68"/>
  <c r="K68"/>
  <c r="H68"/>
  <c r="W67"/>
  <c r="U67"/>
  <c r="R67"/>
  <c r="P67"/>
  <c r="N67"/>
  <c r="K67"/>
  <c r="H67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K57"/>
  <c r="H57"/>
  <c r="E57"/>
  <c r="W56"/>
  <c r="U56"/>
  <c r="R56"/>
  <c r="P56"/>
  <c r="N56"/>
  <c r="K56"/>
  <c r="H56"/>
  <c r="E56"/>
  <c r="W55"/>
  <c r="U55"/>
  <c r="R55"/>
  <c r="P55"/>
  <c r="N55"/>
  <c r="K55"/>
  <c r="E55"/>
  <c r="W54"/>
  <c r="U54"/>
  <c r="R54"/>
  <c r="P54"/>
  <c r="N54"/>
  <c r="K54"/>
  <c r="E54"/>
  <c r="W53"/>
  <c r="U53"/>
  <c r="R53"/>
  <c r="P53"/>
  <c r="N53"/>
  <c r="K53"/>
  <c r="E53"/>
  <c r="W52"/>
  <c r="U52"/>
  <c r="R52"/>
  <c r="P52"/>
  <c r="N52"/>
  <c r="K52"/>
  <c r="E52"/>
  <c r="W51"/>
  <c r="U51"/>
  <c r="R51"/>
  <c r="P51"/>
  <c r="N51"/>
  <c r="K51"/>
  <c r="H51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H48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U42"/>
  <c r="R42"/>
  <c r="P42"/>
  <c r="N42"/>
  <c r="K42"/>
  <c r="H42"/>
  <c r="D42" s="1"/>
  <c r="U41"/>
  <c r="R41"/>
  <c r="P41"/>
  <c r="N41"/>
  <c r="K41"/>
  <c r="H4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K37"/>
  <c r="H37"/>
  <c r="E37"/>
  <c r="W36"/>
  <c r="U36"/>
  <c r="R36"/>
  <c r="P36"/>
  <c r="N36"/>
  <c r="K36"/>
  <c r="H36"/>
  <c r="E36"/>
  <c r="W35"/>
  <c r="U35"/>
  <c r="R35"/>
  <c r="P35"/>
  <c r="N35"/>
  <c r="K35"/>
  <c r="H35"/>
  <c r="E35"/>
  <c r="W34"/>
  <c r="U34"/>
  <c r="R34"/>
  <c r="P34"/>
  <c r="K34"/>
  <c r="H34"/>
  <c r="E34"/>
  <c r="W33"/>
  <c r="U33"/>
  <c r="R33"/>
  <c r="P33"/>
  <c r="K33"/>
  <c r="H33"/>
  <c r="E33"/>
  <c r="W32"/>
  <c r="U32"/>
  <c r="R32"/>
  <c r="P32"/>
  <c r="N32"/>
  <c r="K32"/>
  <c r="H32"/>
  <c r="W31"/>
  <c r="U31"/>
  <c r="R31"/>
  <c r="P31"/>
  <c r="N31"/>
  <c r="K31"/>
  <c r="H31"/>
  <c r="D31" s="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D27" s="1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K23" s="1"/>
  <c r="J23"/>
  <c r="I23"/>
  <c r="W22"/>
  <c r="U22"/>
  <c r="R22"/>
  <c r="P22"/>
  <c r="N22"/>
  <c r="K22"/>
  <c r="H22"/>
  <c r="W21"/>
  <c r="U21"/>
  <c r="R21"/>
  <c r="P21"/>
  <c r="N21"/>
  <c r="K21"/>
  <c r="H21"/>
  <c r="D21" s="1"/>
  <c r="W20"/>
  <c r="U20"/>
  <c r="R20"/>
  <c r="P20"/>
  <c r="N20"/>
  <c r="K20"/>
  <c r="H20"/>
  <c r="E20"/>
  <c r="W19"/>
  <c r="U19"/>
  <c r="R19"/>
  <c r="P19"/>
  <c r="N19"/>
  <c r="K19"/>
  <c r="H19"/>
  <c r="E19"/>
  <c r="W18"/>
  <c r="W16" s="1"/>
  <c r="U18"/>
  <c r="U16" s="1"/>
  <c r="R18"/>
  <c r="P18"/>
  <c r="P16" s="1"/>
  <c r="N18"/>
  <c r="N16" s="1"/>
  <c r="K18"/>
  <c r="H18"/>
  <c r="E18"/>
  <c r="E16" s="1"/>
  <c r="E13" s="1"/>
  <c r="W17"/>
  <c r="W15" s="1"/>
  <c r="U17"/>
  <c r="R17"/>
  <c r="P17"/>
  <c r="P15" s="1"/>
  <c r="N17"/>
  <c r="N15" s="1"/>
  <c r="K17"/>
  <c r="H17"/>
  <c r="E17"/>
  <c r="E15" s="1"/>
  <c r="X16"/>
  <c r="V16"/>
  <c r="T16"/>
  <c r="S16"/>
  <c r="R16"/>
  <c r="Q16"/>
  <c r="O16"/>
  <c r="M16"/>
  <c r="L16"/>
  <c r="J16"/>
  <c r="I16"/>
  <c r="G16"/>
  <c r="G13" s="1"/>
  <c r="F16"/>
  <c r="F13" s="1"/>
  <c r="X15"/>
  <c r="V15"/>
  <c r="U15"/>
  <c r="T15"/>
  <c r="S15"/>
  <c r="R15"/>
  <c r="Q15"/>
  <c r="O15"/>
  <c r="M15"/>
  <c r="L15"/>
  <c r="J15"/>
  <c r="I15"/>
  <c r="G15"/>
  <c r="F15"/>
  <c r="K14"/>
  <c r="H14"/>
  <c r="M13"/>
  <c r="L34" i="26"/>
  <c r="L33"/>
  <c r="I140"/>
  <c r="I139"/>
  <c r="I139" i="25"/>
  <c r="I140" i="23"/>
  <c r="I139"/>
  <c r="I141" i="27"/>
  <c r="I142"/>
  <c r="I143"/>
  <c r="I144"/>
  <c r="I145"/>
  <c r="I146"/>
  <c r="I147"/>
  <c r="I149"/>
  <c r="H149" i="41" s="1"/>
  <c r="D149" s="1"/>
  <c r="I150" i="27"/>
  <c r="H150" i="41" s="1"/>
  <c r="D150" s="1"/>
  <c r="I151" i="27"/>
  <c r="I152"/>
  <c r="I153"/>
  <c r="I154"/>
  <c r="I155"/>
  <c r="I156"/>
  <c r="I155" i="41" l="1"/>
  <c r="H155"/>
  <c r="D155" s="1"/>
  <c r="I153"/>
  <c r="H153"/>
  <c r="D153" s="1"/>
  <c r="I151"/>
  <c r="H151"/>
  <c r="D151" s="1"/>
  <c r="H146"/>
  <c r="D146" s="1"/>
  <c r="H144"/>
  <c r="D144" s="1"/>
  <c r="H142"/>
  <c r="D142" s="1"/>
  <c r="I142"/>
  <c r="H156"/>
  <c r="D156" s="1"/>
  <c r="I156"/>
  <c r="I154"/>
  <c r="H154"/>
  <c r="D154" s="1"/>
  <c r="H152"/>
  <c r="D152" s="1"/>
  <c r="I152"/>
  <c r="H147"/>
  <c r="D147" s="1"/>
  <c r="I147"/>
  <c r="H145"/>
  <c r="D145" s="1"/>
  <c r="I139"/>
  <c r="H139" s="1"/>
  <c r="D139" s="1"/>
  <c r="H143"/>
  <c r="D143" s="1"/>
  <c r="I141"/>
  <c r="H141"/>
  <c r="D141" s="1"/>
  <c r="I13" i="28"/>
  <c r="U72"/>
  <c r="K78"/>
  <c r="D78" s="1"/>
  <c r="K79"/>
  <c r="H89"/>
  <c r="D60"/>
  <c r="D62"/>
  <c r="D64"/>
  <c r="D66"/>
  <c r="H73"/>
  <c r="D89"/>
  <c r="D96"/>
  <c r="D117"/>
  <c r="D121"/>
  <c r="D123"/>
  <c r="D124"/>
  <c r="H128"/>
  <c r="K128"/>
  <c r="R128"/>
  <c r="D142"/>
  <c r="D146"/>
  <c r="D45"/>
  <c r="D47"/>
  <c r="D48"/>
  <c r="D56"/>
  <c r="D61"/>
  <c r="D63"/>
  <c r="D65"/>
  <c r="D103"/>
  <c r="D133"/>
  <c r="D135"/>
  <c r="K139"/>
  <c r="D139" s="1"/>
  <c r="D152"/>
  <c r="D85" i="32"/>
  <c r="K16" i="28"/>
  <c r="D22"/>
  <c r="D24"/>
  <c r="D28"/>
  <c r="D32"/>
  <c r="D50"/>
  <c r="D67"/>
  <c r="D75"/>
  <c r="K87"/>
  <c r="D92"/>
  <c r="D109"/>
  <c r="W139"/>
  <c r="N140"/>
  <c r="W140"/>
  <c r="N72"/>
  <c r="H94"/>
  <c r="D129"/>
  <c r="D132"/>
  <c r="D145"/>
  <c r="D155"/>
  <c r="H54"/>
  <c r="D54" s="1"/>
  <c r="H55"/>
  <c r="E72"/>
  <c r="E98" s="1"/>
  <c r="N87"/>
  <c r="W87"/>
  <c r="P87"/>
  <c r="N94"/>
  <c r="W94"/>
  <c r="D105"/>
  <c r="D107"/>
  <c r="D108"/>
  <c r="D119"/>
  <c r="D127"/>
  <c r="D137"/>
  <c r="U139"/>
  <c r="D144"/>
  <c r="D150"/>
  <c r="D154"/>
  <c r="D80" i="32"/>
  <c r="J13" i="28"/>
  <c r="W72"/>
  <c r="D111"/>
  <c r="D131"/>
  <c r="D141"/>
  <c r="N139"/>
  <c r="D151"/>
  <c r="K15"/>
  <c r="H23"/>
  <c r="D25"/>
  <c r="D29"/>
  <c r="D37"/>
  <c r="D41"/>
  <c r="H43"/>
  <c r="D43" s="1"/>
  <c r="H52"/>
  <c r="D52" s="1"/>
  <c r="D81"/>
  <c r="R73"/>
  <c r="D82"/>
  <c r="R74"/>
  <c r="R72" s="1"/>
  <c r="D83"/>
  <c r="D90"/>
  <c r="R87"/>
  <c r="R94"/>
  <c r="D113"/>
  <c r="D115"/>
  <c r="D116"/>
  <c r="D125"/>
  <c r="D143"/>
  <c r="D149"/>
  <c r="D153"/>
  <c r="H155" i="33"/>
  <c r="D155" s="1"/>
  <c r="I155"/>
  <c r="H147"/>
  <c r="I147"/>
  <c r="O98" i="28"/>
  <c r="H55" i="32"/>
  <c r="D55" s="1"/>
  <c r="H53"/>
  <c r="D53" s="1"/>
  <c r="H150" i="33"/>
  <c r="D150" s="1"/>
  <c r="I150"/>
  <c r="I142"/>
  <c r="H142"/>
  <c r="D142" s="1"/>
  <c r="D46" i="28"/>
  <c r="L74"/>
  <c r="D102"/>
  <c r="D110"/>
  <c r="D118"/>
  <c r="D156"/>
  <c r="H88" i="32"/>
  <c r="D88" s="1"/>
  <c r="H83"/>
  <c r="D83" s="1"/>
  <c r="D79"/>
  <c r="H153" i="33"/>
  <c r="D153" s="1"/>
  <c r="I153"/>
  <c r="I149"/>
  <c r="H149"/>
  <c r="D149" s="1"/>
  <c r="I145"/>
  <c r="H145"/>
  <c r="D145" s="1"/>
  <c r="H141"/>
  <c r="D141" s="1"/>
  <c r="I141"/>
  <c r="L13" i="28"/>
  <c r="K13" s="1"/>
  <c r="D58"/>
  <c r="D59"/>
  <c r="D69"/>
  <c r="P72"/>
  <c r="K85"/>
  <c r="D85" s="1"/>
  <c r="U87"/>
  <c r="Q98"/>
  <c r="V98"/>
  <c r="K97"/>
  <c r="D104"/>
  <c r="D112"/>
  <c r="D120"/>
  <c r="E128"/>
  <c r="D136"/>
  <c r="E140"/>
  <c r="H42" i="32"/>
  <c r="D42" s="1"/>
  <c r="I87"/>
  <c r="H89"/>
  <c r="D89" s="1"/>
  <c r="H84"/>
  <c r="D84" s="1"/>
  <c r="I72"/>
  <c r="H72" s="1"/>
  <c r="H74"/>
  <c r="I151" i="33"/>
  <c r="H151"/>
  <c r="D151" s="1"/>
  <c r="H143"/>
  <c r="D143" s="1"/>
  <c r="I143"/>
  <c r="F98" i="28"/>
  <c r="S98"/>
  <c r="K97" i="32"/>
  <c r="D97" s="1"/>
  <c r="K78"/>
  <c r="D78" s="1"/>
  <c r="L74"/>
  <c r="H154" i="33"/>
  <c r="D154" s="1"/>
  <c r="I154"/>
  <c r="H146"/>
  <c r="D146" s="1"/>
  <c r="I146"/>
  <c r="G98" i="28"/>
  <c r="T98"/>
  <c r="R98"/>
  <c r="D126"/>
  <c r="D134"/>
  <c r="H156" i="33"/>
  <c r="D156" s="1"/>
  <c r="I156"/>
  <c r="H152"/>
  <c r="D152" s="1"/>
  <c r="I152"/>
  <c r="I144"/>
  <c r="H144"/>
  <c r="D144" s="1"/>
  <c r="I139" i="27"/>
  <c r="H16" i="28"/>
  <c r="D16" s="1"/>
  <c r="D26"/>
  <c r="D30"/>
  <c r="H53"/>
  <c r="D53" s="1"/>
  <c r="D68"/>
  <c r="D71"/>
  <c r="L73"/>
  <c r="K73" s="1"/>
  <c r="H74"/>
  <c r="D76"/>
  <c r="H87"/>
  <c r="X98"/>
  <c r="D106"/>
  <c r="D114"/>
  <c r="D122"/>
  <c r="D130"/>
  <c r="D138"/>
  <c r="P140"/>
  <c r="H43" i="32"/>
  <c r="D43" s="1"/>
  <c r="H54"/>
  <c r="D54" s="1"/>
  <c r="K77"/>
  <c r="D77" s="1"/>
  <c r="L73"/>
  <c r="K73" s="1"/>
  <c r="D73" s="1"/>
  <c r="H52"/>
  <c r="D52" s="1"/>
  <c r="I100"/>
  <c r="I13"/>
  <c r="H13" s="1"/>
  <c r="D13" s="1"/>
  <c r="D86"/>
  <c r="H72" i="29"/>
  <c r="D72" s="1"/>
  <c r="I98"/>
  <c r="H98" s="1"/>
  <c r="D98" s="1"/>
  <c r="E99" s="1"/>
  <c r="J100" s="1"/>
  <c r="D36" i="28"/>
  <c r="D38"/>
  <c r="D19"/>
  <c r="D20"/>
  <c r="D18"/>
  <c r="D34"/>
  <c r="I72"/>
  <c r="H72" s="1"/>
  <c r="D91"/>
  <c r="D88"/>
  <c r="D77"/>
  <c r="D84"/>
  <c r="D79"/>
  <c r="D80"/>
  <c r="D51"/>
  <c r="H13"/>
  <c r="D14"/>
  <c r="H15"/>
  <c r="D15" s="1"/>
  <c r="D17"/>
  <c r="D40"/>
  <c r="M98"/>
  <c r="D55"/>
  <c r="D33"/>
  <c r="D35"/>
  <c r="D39"/>
  <c r="D44"/>
  <c r="D49"/>
  <c r="D57"/>
  <c r="D86"/>
  <c r="D73"/>
  <c r="J98"/>
  <c r="D95"/>
  <c r="U98"/>
  <c r="W98"/>
  <c r="D23"/>
  <c r="P98"/>
  <c r="H70"/>
  <c r="D70" s="1"/>
  <c r="H93"/>
  <c r="D93" s="1"/>
  <c r="K94"/>
  <c r="D94" s="1"/>
  <c r="H97"/>
  <c r="I84" i="26"/>
  <c r="I83"/>
  <c r="I80"/>
  <c r="I79"/>
  <c r="I86"/>
  <c r="I85"/>
  <c r="I78"/>
  <c r="I77"/>
  <c r="I76"/>
  <c r="I75"/>
  <c r="D87" i="28" l="1"/>
  <c r="N98"/>
  <c r="D13"/>
  <c r="K74"/>
  <c r="D74" s="1"/>
  <c r="L72"/>
  <c r="D128"/>
  <c r="K74" i="32"/>
  <c r="L72"/>
  <c r="D74"/>
  <c r="H87"/>
  <c r="D87" s="1"/>
  <c r="I98"/>
  <c r="H98" s="1"/>
  <c r="H139" i="33"/>
  <c r="D139" s="1"/>
  <c r="I139"/>
  <c r="I98" i="28"/>
  <c r="H98" s="1"/>
  <c r="I100"/>
  <c r="D97"/>
  <c r="L84" i="26"/>
  <c r="L83"/>
  <c r="L80"/>
  <c r="L79"/>
  <c r="I82"/>
  <c r="I81"/>
  <c r="L86"/>
  <c r="L85"/>
  <c r="L82"/>
  <c r="L81"/>
  <c r="L78"/>
  <c r="L77"/>
  <c r="L76"/>
  <c r="L75"/>
  <c r="I55"/>
  <c r="I54"/>
  <c r="I51"/>
  <c r="I50"/>
  <c r="K72" i="28" l="1"/>
  <c r="D72" s="1"/>
  <c r="L98"/>
  <c r="K98" s="1"/>
  <c r="M100" s="1"/>
  <c r="K72" i="32"/>
  <c r="D72" s="1"/>
  <c r="L98"/>
  <c r="K98" s="1"/>
  <c r="M100" s="1"/>
  <c r="D98" i="28"/>
  <c r="E99" s="1"/>
  <c r="J100" s="1"/>
  <c r="I97" i="26"/>
  <c r="I91"/>
  <c r="I90"/>
  <c r="I53"/>
  <c r="I52"/>
  <c r="I93"/>
  <c r="I92"/>
  <c r="I34"/>
  <c r="I33"/>
  <c r="L93"/>
  <c r="L92"/>
  <c r="L97"/>
  <c r="I45"/>
  <c r="I44"/>
  <c r="I89"/>
  <c r="I88"/>
  <c r="D98" i="32" l="1"/>
  <c r="E99" s="1"/>
  <c r="J100" s="1"/>
  <c r="I67" i="26"/>
  <c r="I66"/>
  <c r="H83"/>
  <c r="L96" i="27"/>
  <c r="M96"/>
  <c r="L97"/>
  <c r="M97"/>
  <c r="M95"/>
  <c r="M95" i="41" s="1"/>
  <c r="L95" i="27"/>
  <c r="I96"/>
  <c r="J96"/>
  <c r="J97"/>
  <c r="J95"/>
  <c r="I95"/>
  <c r="L89"/>
  <c r="M89"/>
  <c r="M90"/>
  <c r="M91"/>
  <c r="L92"/>
  <c r="M92"/>
  <c r="L93"/>
  <c r="M93"/>
  <c r="M88"/>
  <c r="L88"/>
  <c r="J89"/>
  <c r="J90"/>
  <c r="J91"/>
  <c r="I92"/>
  <c r="J92"/>
  <c r="I93"/>
  <c r="J93"/>
  <c r="J88"/>
  <c r="L76"/>
  <c r="L76" i="33" s="1"/>
  <c r="M76" i="27"/>
  <c r="M77"/>
  <c r="M78"/>
  <c r="M79"/>
  <c r="M80"/>
  <c r="M81"/>
  <c r="M82"/>
  <c r="M83"/>
  <c r="M84"/>
  <c r="M85"/>
  <c r="M86"/>
  <c r="M75"/>
  <c r="L75"/>
  <c r="J76"/>
  <c r="J77"/>
  <c r="J78"/>
  <c r="J79"/>
  <c r="J80"/>
  <c r="J81"/>
  <c r="J82"/>
  <c r="J83"/>
  <c r="J84"/>
  <c r="J85"/>
  <c r="J86"/>
  <c r="J75"/>
  <c r="M34"/>
  <c r="L35"/>
  <c r="M35"/>
  <c r="L36"/>
  <c r="M36"/>
  <c r="L37"/>
  <c r="M37"/>
  <c r="L38"/>
  <c r="M38"/>
  <c r="L39"/>
  <c r="M39"/>
  <c r="L40"/>
  <c r="M40"/>
  <c r="L41"/>
  <c r="L41" i="41" s="1"/>
  <c r="M41" i="27"/>
  <c r="L42"/>
  <c r="M42"/>
  <c r="L43"/>
  <c r="M43"/>
  <c r="L44"/>
  <c r="M44"/>
  <c r="L45"/>
  <c r="M45"/>
  <c r="L46"/>
  <c r="M46"/>
  <c r="L47"/>
  <c r="L47" i="41" s="1"/>
  <c r="M47" i="27"/>
  <c r="L48"/>
  <c r="M48"/>
  <c r="L49"/>
  <c r="M49"/>
  <c r="L50"/>
  <c r="M50"/>
  <c r="L51"/>
  <c r="L51" i="41" s="1"/>
  <c r="M51" i="27"/>
  <c r="L52"/>
  <c r="M52"/>
  <c r="L53"/>
  <c r="L53" i="41" s="1"/>
  <c r="M53" i="27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M33"/>
  <c r="J34"/>
  <c r="I35"/>
  <c r="J35"/>
  <c r="I36"/>
  <c r="I36" i="33" s="1"/>
  <c r="J36" i="27"/>
  <c r="I37"/>
  <c r="J37"/>
  <c r="I38"/>
  <c r="J38"/>
  <c r="I39"/>
  <c r="J39"/>
  <c r="I40"/>
  <c r="J40"/>
  <c r="I41"/>
  <c r="J41"/>
  <c r="J43"/>
  <c r="J44"/>
  <c r="J45"/>
  <c r="I46"/>
  <c r="J46"/>
  <c r="I47"/>
  <c r="J47"/>
  <c r="I48"/>
  <c r="J48"/>
  <c r="I49"/>
  <c r="J49"/>
  <c r="J50"/>
  <c r="J51"/>
  <c r="J52"/>
  <c r="J53"/>
  <c r="J54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J66"/>
  <c r="I67"/>
  <c r="J67"/>
  <c r="I68"/>
  <c r="J68"/>
  <c r="I69"/>
  <c r="I69" i="41" s="1"/>
  <c r="J69" i="27"/>
  <c r="I70"/>
  <c r="J70"/>
  <c r="I71"/>
  <c r="J71"/>
  <c r="J33"/>
  <c r="I25"/>
  <c r="J25"/>
  <c r="I26"/>
  <c r="J26"/>
  <c r="I27"/>
  <c r="J27"/>
  <c r="I28"/>
  <c r="J28"/>
  <c r="H28" s="1"/>
  <c r="I29"/>
  <c r="J29"/>
  <c r="I30"/>
  <c r="J30"/>
  <c r="I31"/>
  <c r="J31"/>
  <c r="I32"/>
  <c r="J32"/>
  <c r="J24"/>
  <c r="I24"/>
  <c r="L17"/>
  <c r="M17"/>
  <c r="L18"/>
  <c r="M18"/>
  <c r="L19"/>
  <c r="M19"/>
  <c r="M19" i="33" s="1"/>
  <c r="L20" i="27"/>
  <c r="M20"/>
  <c r="M20" i="33" s="1"/>
  <c r="L21" i="27"/>
  <c r="M21"/>
  <c r="M14"/>
  <c r="M14" i="33" s="1"/>
  <c r="L14" i="27"/>
  <c r="I17"/>
  <c r="J17"/>
  <c r="I18"/>
  <c r="J18"/>
  <c r="I19"/>
  <c r="J19"/>
  <c r="I20"/>
  <c r="J20"/>
  <c r="I21"/>
  <c r="J21"/>
  <c r="J14"/>
  <c r="I14"/>
  <c r="W156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W140" s="1"/>
  <c r="U142"/>
  <c r="U140" s="1"/>
  <c r="R142"/>
  <c r="P142"/>
  <c r="N142"/>
  <c r="N140" s="1"/>
  <c r="K142"/>
  <c r="K140" s="1"/>
  <c r="D140" s="1"/>
  <c r="E142"/>
  <c r="W141"/>
  <c r="U141"/>
  <c r="U139" s="1"/>
  <c r="R141"/>
  <c r="P141"/>
  <c r="N141"/>
  <c r="K141"/>
  <c r="K139" s="1"/>
  <c r="D139" s="1"/>
  <c r="E141"/>
  <c r="X140"/>
  <c r="V140"/>
  <c r="T140"/>
  <c r="S140"/>
  <c r="Q140"/>
  <c r="O140"/>
  <c r="M140"/>
  <c r="L140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E128" s="1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E97"/>
  <c r="W96"/>
  <c r="U96"/>
  <c r="R96"/>
  <c r="P96"/>
  <c r="P94" s="1"/>
  <c r="N96"/>
  <c r="H96"/>
  <c r="E96"/>
  <c r="W95"/>
  <c r="U95"/>
  <c r="R95"/>
  <c r="P95"/>
  <c r="N95"/>
  <c r="N94" s="1"/>
  <c r="E95"/>
  <c r="X94"/>
  <c r="V94"/>
  <c r="T94"/>
  <c r="S94"/>
  <c r="Q94"/>
  <c r="O94"/>
  <c r="G94"/>
  <c r="F94"/>
  <c r="W93"/>
  <c r="U93"/>
  <c r="R93"/>
  <c r="P93"/>
  <c r="N93"/>
  <c r="E93"/>
  <c r="W92"/>
  <c r="U92"/>
  <c r="R92"/>
  <c r="P92"/>
  <c r="N92"/>
  <c r="E92"/>
  <c r="W91"/>
  <c r="U91"/>
  <c r="R91"/>
  <c r="P91"/>
  <c r="N91"/>
  <c r="E91"/>
  <c r="W90"/>
  <c r="U90"/>
  <c r="R90"/>
  <c r="P90"/>
  <c r="N90"/>
  <c r="W89"/>
  <c r="W87" s="1"/>
  <c r="U89"/>
  <c r="R89"/>
  <c r="P89"/>
  <c r="N89"/>
  <c r="N87" s="1"/>
  <c r="E89"/>
  <c r="W88"/>
  <c r="U88"/>
  <c r="R88"/>
  <c r="P88"/>
  <c r="N88"/>
  <c r="E88"/>
  <c r="X87"/>
  <c r="V87"/>
  <c r="T87"/>
  <c r="S87"/>
  <c r="Q87"/>
  <c r="O87"/>
  <c r="G87"/>
  <c r="F87"/>
  <c r="W86"/>
  <c r="U86"/>
  <c r="R86"/>
  <c r="P86"/>
  <c r="N86"/>
  <c r="E86"/>
  <c r="W85"/>
  <c r="U85"/>
  <c r="R85"/>
  <c r="P85"/>
  <c r="N85"/>
  <c r="E85"/>
  <c r="W84"/>
  <c r="U84"/>
  <c r="R84"/>
  <c r="P84"/>
  <c r="N84"/>
  <c r="E84"/>
  <c r="W83"/>
  <c r="U83"/>
  <c r="R83"/>
  <c r="P83"/>
  <c r="N83"/>
  <c r="E83"/>
  <c r="W82"/>
  <c r="U82"/>
  <c r="R82"/>
  <c r="P82"/>
  <c r="N82"/>
  <c r="E82"/>
  <c r="W81"/>
  <c r="U81"/>
  <c r="R81"/>
  <c r="P81"/>
  <c r="N81"/>
  <c r="E81"/>
  <c r="W80"/>
  <c r="U80"/>
  <c r="R80"/>
  <c r="P80"/>
  <c r="N80"/>
  <c r="E80"/>
  <c r="W79"/>
  <c r="U79"/>
  <c r="R79"/>
  <c r="P79"/>
  <c r="N79"/>
  <c r="E79"/>
  <c r="W78"/>
  <c r="U78"/>
  <c r="R78"/>
  <c r="P78"/>
  <c r="N78"/>
  <c r="E78"/>
  <c r="W77"/>
  <c r="U77"/>
  <c r="R77"/>
  <c r="P77"/>
  <c r="N77"/>
  <c r="E77"/>
  <c r="W76"/>
  <c r="W74" s="1"/>
  <c r="W72" s="1"/>
  <c r="U76"/>
  <c r="R76"/>
  <c r="R74" s="1"/>
  <c r="R72" s="1"/>
  <c r="P76"/>
  <c r="P74" s="1"/>
  <c r="P72" s="1"/>
  <c r="N76"/>
  <c r="E76"/>
  <c r="W75"/>
  <c r="U75"/>
  <c r="U73" s="1"/>
  <c r="R75"/>
  <c r="P75"/>
  <c r="P73" s="1"/>
  <c r="N75"/>
  <c r="E75"/>
  <c r="E73" s="1"/>
  <c r="X74"/>
  <c r="X72" s="1"/>
  <c r="V74"/>
  <c r="U74"/>
  <c r="U72" s="1"/>
  <c r="T74"/>
  <c r="T72" s="1"/>
  <c r="S74"/>
  <c r="S72" s="1"/>
  <c r="Q74"/>
  <c r="Q72" s="1"/>
  <c r="O74"/>
  <c r="O72" s="1"/>
  <c r="M74"/>
  <c r="M72" s="1"/>
  <c r="G74"/>
  <c r="F74"/>
  <c r="F72" s="1"/>
  <c r="E74"/>
  <c r="X73"/>
  <c r="V73"/>
  <c r="T73"/>
  <c r="S73"/>
  <c r="Q73"/>
  <c r="O73"/>
  <c r="N73"/>
  <c r="M73"/>
  <c r="G73"/>
  <c r="F73"/>
  <c r="V72"/>
  <c r="G72"/>
  <c r="E72"/>
  <c r="W71"/>
  <c r="U71"/>
  <c r="R71"/>
  <c r="P71"/>
  <c r="N71"/>
  <c r="W70"/>
  <c r="U70"/>
  <c r="R70"/>
  <c r="P70"/>
  <c r="N70"/>
  <c r="W69"/>
  <c r="U69"/>
  <c r="R69"/>
  <c r="P69"/>
  <c r="N69"/>
  <c r="K69"/>
  <c r="W68"/>
  <c r="U68"/>
  <c r="R68"/>
  <c r="P68"/>
  <c r="N68"/>
  <c r="H68"/>
  <c r="W67"/>
  <c r="U67"/>
  <c r="R67"/>
  <c r="P67"/>
  <c r="N67"/>
  <c r="W66"/>
  <c r="U66"/>
  <c r="R66"/>
  <c r="P66"/>
  <c r="N66"/>
  <c r="W65"/>
  <c r="U65"/>
  <c r="R65"/>
  <c r="P65"/>
  <c r="N65"/>
  <c r="H65"/>
  <c r="W64"/>
  <c r="U64"/>
  <c r="R64"/>
  <c r="P64"/>
  <c r="N64"/>
  <c r="W63"/>
  <c r="U63"/>
  <c r="R63"/>
  <c r="P63"/>
  <c r="N63"/>
  <c r="W62"/>
  <c r="U62"/>
  <c r="R62"/>
  <c r="P62"/>
  <c r="N62"/>
  <c r="W61"/>
  <c r="U61"/>
  <c r="R61"/>
  <c r="P61"/>
  <c r="N61"/>
  <c r="W60"/>
  <c r="U60"/>
  <c r="R60"/>
  <c r="P60"/>
  <c r="N60"/>
  <c r="W59"/>
  <c r="U59"/>
  <c r="R59"/>
  <c r="P59"/>
  <c r="N59"/>
  <c r="E59"/>
  <c r="W58"/>
  <c r="U58"/>
  <c r="R58"/>
  <c r="P58"/>
  <c r="N58"/>
  <c r="E58"/>
  <c r="W57"/>
  <c r="U57"/>
  <c r="R57"/>
  <c r="P57"/>
  <c r="N57"/>
  <c r="E57"/>
  <c r="W56"/>
  <c r="U56"/>
  <c r="R56"/>
  <c r="P56"/>
  <c r="N56"/>
  <c r="E56"/>
  <c r="W55"/>
  <c r="U55"/>
  <c r="R55"/>
  <c r="P55"/>
  <c r="N55"/>
  <c r="E55"/>
  <c r="W54"/>
  <c r="U54"/>
  <c r="R54"/>
  <c r="P54"/>
  <c r="N54"/>
  <c r="E54"/>
  <c r="W53"/>
  <c r="U53"/>
  <c r="R53"/>
  <c r="P53"/>
  <c r="N53"/>
  <c r="E53"/>
  <c r="W52"/>
  <c r="U52"/>
  <c r="R52"/>
  <c r="P52"/>
  <c r="N52"/>
  <c r="E52"/>
  <c r="W51"/>
  <c r="U51"/>
  <c r="R51"/>
  <c r="P51"/>
  <c r="N51"/>
  <c r="E51"/>
  <c r="W50"/>
  <c r="U50"/>
  <c r="R50"/>
  <c r="P50"/>
  <c r="N50"/>
  <c r="E50"/>
  <c r="W49"/>
  <c r="U49"/>
  <c r="R49"/>
  <c r="P49"/>
  <c r="N49"/>
  <c r="E49"/>
  <c r="W48"/>
  <c r="U48"/>
  <c r="R48"/>
  <c r="P48"/>
  <c r="N48"/>
  <c r="E48"/>
  <c r="W47"/>
  <c r="U47"/>
  <c r="R47"/>
  <c r="P47"/>
  <c r="N47"/>
  <c r="E47"/>
  <c r="W46"/>
  <c r="U46"/>
  <c r="R46"/>
  <c r="P46"/>
  <c r="N46"/>
  <c r="E46"/>
  <c r="W45"/>
  <c r="U45"/>
  <c r="R45"/>
  <c r="P45"/>
  <c r="N45"/>
  <c r="E45"/>
  <c r="W44"/>
  <c r="U44"/>
  <c r="R44"/>
  <c r="P44"/>
  <c r="N44"/>
  <c r="E44"/>
  <c r="U43"/>
  <c r="R43"/>
  <c r="P43"/>
  <c r="N43"/>
  <c r="U42"/>
  <c r="R42"/>
  <c r="P42"/>
  <c r="N42"/>
  <c r="U41"/>
  <c r="R41"/>
  <c r="P41"/>
  <c r="N41"/>
  <c r="U40"/>
  <c r="R40"/>
  <c r="P40"/>
  <c r="N40"/>
  <c r="W39"/>
  <c r="U39"/>
  <c r="R39"/>
  <c r="P39"/>
  <c r="N39"/>
  <c r="E39"/>
  <c r="W38"/>
  <c r="U38"/>
  <c r="R38"/>
  <c r="P38"/>
  <c r="N38"/>
  <c r="K38"/>
  <c r="E38"/>
  <c r="W37"/>
  <c r="U37"/>
  <c r="R37"/>
  <c r="P37"/>
  <c r="N37"/>
  <c r="E37"/>
  <c r="W36"/>
  <c r="U36"/>
  <c r="R36"/>
  <c r="P36"/>
  <c r="N36"/>
  <c r="E36"/>
  <c r="W35"/>
  <c r="U35"/>
  <c r="R35"/>
  <c r="P35"/>
  <c r="N35"/>
  <c r="E35"/>
  <c r="W34"/>
  <c r="U34"/>
  <c r="R34"/>
  <c r="P34"/>
  <c r="E34"/>
  <c r="W33"/>
  <c r="U33"/>
  <c r="R33"/>
  <c r="P33"/>
  <c r="E33"/>
  <c r="W32"/>
  <c r="U32"/>
  <c r="R32"/>
  <c r="P32"/>
  <c r="N32"/>
  <c r="K32"/>
  <c r="H32"/>
  <c r="W31"/>
  <c r="U31"/>
  <c r="R31"/>
  <c r="P31"/>
  <c r="N31"/>
  <c r="K31"/>
  <c r="W30"/>
  <c r="U30"/>
  <c r="R30"/>
  <c r="P30"/>
  <c r="N30"/>
  <c r="K30"/>
  <c r="W29"/>
  <c r="U29"/>
  <c r="R29"/>
  <c r="P29"/>
  <c r="N29"/>
  <c r="K29"/>
  <c r="W28"/>
  <c r="U28"/>
  <c r="R28"/>
  <c r="P28"/>
  <c r="N28"/>
  <c r="K28"/>
  <c r="W27"/>
  <c r="U27"/>
  <c r="R27"/>
  <c r="P27"/>
  <c r="N27"/>
  <c r="K27"/>
  <c r="W26"/>
  <c r="U26"/>
  <c r="R26"/>
  <c r="P26"/>
  <c r="N26"/>
  <c r="K26"/>
  <c r="W25"/>
  <c r="U25"/>
  <c r="R25"/>
  <c r="P25"/>
  <c r="N25"/>
  <c r="K25"/>
  <c r="W24"/>
  <c r="U24"/>
  <c r="R24"/>
  <c r="P24"/>
  <c r="N24"/>
  <c r="K24"/>
  <c r="W23"/>
  <c r="U23"/>
  <c r="R23"/>
  <c r="P23"/>
  <c r="N23"/>
  <c r="M23"/>
  <c r="L23"/>
  <c r="W22"/>
  <c r="U22"/>
  <c r="R22"/>
  <c r="P22"/>
  <c r="N22"/>
  <c r="K22"/>
  <c r="H22"/>
  <c r="W21"/>
  <c r="U21"/>
  <c r="R21"/>
  <c r="P21"/>
  <c r="N21"/>
  <c r="W20"/>
  <c r="U20"/>
  <c r="R20"/>
  <c r="P20"/>
  <c r="N20"/>
  <c r="E20"/>
  <c r="W19"/>
  <c r="U19"/>
  <c r="R19"/>
  <c r="P19"/>
  <c r="N19"/>
  <c r="E19"/>
  <c r="W18"/>
  <c r="U18"/>
  <c r="R18"/>
  <c r="P18"/>
  <c r="P16" s="1"/>
  <c r="N18"/>
  <c r="E18"/>
  <c r="E16" s="1"/>
  <c r="W17"/>
  <c r="U17"/>
  <c r="U15" s="1"/>
  <c r="R17"/>
  <c r="P17"/>
  <c r="P15" s="1"/>
  <c r="N17"/>
  <c r="H17"/>
  <c r="E17"/>
  <c r="X16"/>
  <c r="V16"/>
  <c r="U16"/>
  <c r="T16"/>
  <c r="S16"/>
  <c r="Q16"/>
  <c r="O16"/>
  <c r="G16"/>
  <c r="G13" s="1"/>
  <c r="F16"/>
  <c r="F13" s="1"/>
  <c r="X15"/>
  <c r="V15"/>
  <c r="T15"/>
  <c r="S15"/>
  <c r="Q15"/>
  <c r="O15"/>
  <c r="G15"/>
  <c r="F15"/>
  <c r="W156" i="26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U142"/>
  <c r="R142"/>
  <c r="P142"/>
  <c r="N142"/>
  <c r="K142"/>
  <c r="E142"/>
  <c r="W141"/>
  <c r="W139" s="1"/>
  <c r="U141"/>
  <c r="R141"/>
  <c r="P141"/>
  <c r="N141"/>
  <c r="N139" s="1"/>
  <c r="K141"/>
  <c r="E141"/>
  <c r="X140"/>
  <c r="V140"/>
  <c r="T140"/>
  <c r="S140"/>
  <c r="Q140"/>
  <c r="P140"/>
  <c r="O140"/>
  <c r="M140"/>
  <c r="L140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E128" s="1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D100"/>
  <c r="W97"/>
  <c r="U97"/>
  <c r="R97"/>
  <c r="P97"/>
  <c r="N97"/>
  <c r="K97"/>
  <c r="H97"/>
  <c r="E97"/>
  <c r="W96"/>
  <c r="U96"/>
  <c r="R96"/>
  <c r="P96"/>
  <c r="N96"/>
  <c r="K96"/>
  <c r="H96"/>
  <c r="E96"/>
  <c r="W95"/>
  <c r="W94" s="1"/>
  <c r="U95"/>
  <c r="U94" s="1"/>
  <c r="R95"/>
  <c r="R94" s="1"/>
  <c r="P95"/>
  <c r="N95"/>
  <c r="N94" s="1"/>
  <c r="K95"/>
  <c r="H95"/>
  <c r="E95"/>
  <c r="E94" s="1"/>
  <c r="X94"/>
  <c r="V94"/>
  <c r="T94"/>
  <c r="S94"/>
  <c r="Q94"/>
  <c r="O94"/>
  <c r="M94"/>
  <c r="L94"/>
  <c r="J94"/>
  <c r="I94"/>
  <c r="G94"/>
  <c r="F94"/>
  <c r="W93"/>
  <c r="U93"/>
  <c r="R93"/>
  <c r="P93"/>
  <c r="N93"/>
  <c r="K93"/>
  <c r="H93"/>
  <c r="E93"/>
  <c r="W92"/>
  <c r="U92"/>
  <c r="R92"/>
  <c r="P92"/>
  <c r="N92"/>
  <c r="K92"/>
  <c r="H92"/>
  <c r="E92"/>
  <c r="W91"/>
  <c r="U91"/>
  <c r="R91"/>
  <c r="P91"/>
  <c r="N91"/>
  <c r="K91"/>
  <c r="H91"/>
  <c r="E91"/>
  <c r="W90"/>
  <c r="U90"/>
  <c r="R90"/>
  <c r="P90"/>
  <c r="N90"/>
  <c r="K90"/>
  <c r="H90"/>
  <c r="W89"/>
  <c r="W87" s="1"/>
  <c r="U89"/>
  <c r="R89"/>
  <c r="P89"/>
  <c r="N89"/>
  <c r="K89"/>
  <c r="H89"/>
  <c r="E89"/>
  <c r="W88"/>
  <c r="U88"/>
  <c r="R88"/>
  <c r="P88"/>
  <c r="N88"/>
  <c r="K88"/>
  <c r="H88"/>
  <c r="E88"/>
  <c r="X87"/>
  <c r="V87"/>
  <c r="T87"/>
  <c r="S87"/>
  <c r="Q87"/>
  <c r="O87"/>
  <c r="M87"/>
  <c r="L87"/>
  <c r="J87"/>
  <c r="I87"/>
  <c r="G87"/>
  <c r="F87"/>
  <c r="W86"/>
  <c r="U86"/>
  <c r="R86"/>
  <c r="P86"/>
  <c r="N86"/>
  <c r="K86"/>
  <c r="H86"/>
  <c r="E86"/>
  <c r="W85"/>
  <c r="U85"/>
  <c r="R85"/>
  <c r="P85"/>
  <c r="N85"/>
  <c r="K85"/>
  <c r="H85"/>
  <c r="E85"/>
  <c r="W84"/>
  <c r="U84"/>
  <c r="R84"/>
  <c r="P84"/>
  <c r="N84"/>
  <c r="K84"/>
  <c r="H84"/>
  <c r="E84"/>
  <c r="W83"/>
  <c r="U83"/>
  <c r="R83"/>
  <c r="P83"/>
  <c r="N83"/>
  <c r="K83"/>
  <c r="E83"/>
  <c r="W82"/>
  <c r="U82"/>
  <c r="R82"/>
  <c r="P82"/>
  <c r="N82"/>
  <c r="K82"/>
  <c r="H82"/>
  <c r="E82"/>
  <c r="W81"/>
  <c r="U81"/>
  <c r="R81"/>
  <c r="P81"/>
  <c r="N81"/>
  <c r="K81"/>
  <c r="H81"/>
  <c r="E81"/>
  <c r="W80"/>
  <c r="U80"/>
  <c r="R80"/>
  <c r="P80"/>
  <c r="N80"/>
  <c r="K80"/>
  <c r="H80"/>
  <c r="E80"/>
  <c r="W79"/>
  <c r="U79"/>
  <c r="R79"/>
  <c r="P79"/>
  <c r="N79"/>
  <c r="K79"/>
  <c r="H79"/>
  <c r="E79"/>
  <c r="W78"/>
  <c r="U78"/>
  <c r="R78"/>
  <c r="P78"/>
  <c r="N78"/>
  <c r="K78"/>
  <c r="H78"/>
  <c r="E78"/>
  <c r="W77"/>
  <c r="U77"/>
  <c r="R77"/>
  <c r="P77"/>
  <c r="N77"/>
  <c r="K77"/>
  <c r="H77"/>
  <c r="E77"/>
  <c r="W76"/>
  <c r="W74" s="1"/>
  <c r="U76"/>
  <c r="U74" s="1"/>
  <c r="U72" s="1"/>
  <c r="R76"/>
  <c r="R74" s="1"/>
  <c r="P76"/>
  <c r="P74" s="1"/>
  <c r="P72" s="1"/>
  <c r="N76"/>
  <c r="N74" s="1"/>
  <c r="K76"/>
  <c r="H76"/>
  <c r="E76"/>
  <c r="E74" s="1"/>
  <c r="E72" s="1"/>
  <c r="W75"/>
  <c r="U75"/>
  <c r="U73" s="1"/>
  <c r="R75"/>
  <c r="R73" s="1"/>
  <c r="P75"/>
  <c r="N75"/>
  <c r="N73" s="1"/>
  <c r="K75"/>
  <c r="H75"/>
  <c r="E75"/>
  <c r="E73" s="1"/>
  <c r="X74"/>
  <c r="X72" s="1"/>
  <c r="V74"/>
  <c r="V72" s="1"/>
  <c r="T74"/>
  <c r="T72" s="1"/>
  <c r="T98" s="1"/>
  <c r="S74"/>
  <c r="S72" s="1"/>
  <c r="Q74"/>
  <c r="O74"/>
  <c r="O72" s="1"/>
  <c r="M74"/>
  <c r="L74"/>
  <c r="J74"/>
  <c r="J72" s="1"/>
  <c r="G74"/>
  <c r="F74"/>
  <c r="F72" s="1"/>
  <c r="X73"/>
  <c r="W73"/>
  <c r="V73"/>
  <c r="T73"/>
  <c r="S73"/>
  <c r="Q73"/>
  <c r="O73"/>
  <c r="M73"/>
  <c r="J73"/>
  <c r="I73"/>
  <c r="G73"/>
  <c r="F73"/>
  <c r="Q72"/>
  <c r="M72"/>
  <c r="G72"/>
  <c r="W71"/>
  <c r="U71"/>
  <c r="R71"/>
  <c r="P71"/>
  <c r="N71"/>
  <c r="K71"/>
  <c r="H71"/>
  <c r="W70"/>
  <c r="U70"/>
  <c r="R70"/>
  <c r="P70"/>
  <c r="N70"/>
  <c r="K70"/>
  <c r="H70"/>
  <c r="W69"/>
  <c r="U69"/>
  <c r="R69"/>
  <c r="P69"/>
  <c r="N69"/>
  <c r="K69"/>
  <c r="H69"/>
  <c r="W68"/>
  <c r="U68"/>
  <c r="R68"/>
  <c r="P68"/>
  <c r="N68"/>
  <c r="K68"/>
  <c r="H68"/>
  <c r="W67"/>
  <c r="U67"/>
  <c r="R67"/>
  <c r="P67"/>
  <c r="N67"/>
  <c r="K67"/>
  <c r="H67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K57"/>
  <c r="H57"/>
  <c r="E57"/>
  <c r="W56"/>
  <c r="U56"/>
  <c r="R56"/>
  <c r="P56"/>
  <c r="N56"/>
  <c r="K56"/>
  <c r="H56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H51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H48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U42"/>
  <c r="R42"/>
  <c r="P42"/>
  <c r="N42"/>
  <c r="K42"/>
  <c r="H42"/>
  <c r="U41"/>
  <c r="R41"/>
  <c r="P41"/>
  <c r="N41"/>
  <c r="K41"/>
  <c r="H4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K37"/>
  <c r="H37"/>
  <c r="E37"/>
  <c r="W36"/>
  <c r="U36"/>
  <c r="R36"/>
  <c r="P36"/>
  <c r="N36"/>
  <c r="K36"/>
  <c r="H36"/>
  <c r="E36"/>
  <c r="W35"/>
  <c r="U35"/>
  <c r="R35"/>
  <c r="P35"/>
  <c r="N35"/>
  <c r="K35"/>
  <c r="H35"/>
  <c r="E35"/>
  <c r="W34"/>
  <c r="U34"/>
  <c r="R34"/>
  <c r="P34"/>
  <c r="K34"/>
  <c r="H34"/>
  <c r="E34"/>
  <c r="W33"/>
  <c r="U33"/>
  <c r="R33"/>
  <c r="P33"/>
  <c r="K33"/>
  <c r="H33"/>
  <c r="E33"/>
  <c r="W32"/>
  <c r="U32"/>
  <c r="R32"/>
  <c r="P32"/>
  <c r="N32"/>
  <c r="K32"/>
  <c r="H32"/>
  <c r="W31"/>
  <c r="U31"/>
  <c r="R31"/>
  <c r="P31"/>
  <c r="N31"/>
  <c r="K31"/>
  <c r="H3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J23"/>
  <c r="I23"/>
  <c r="H23" s="1"/>
  <c r="W22"/>
  <c r="U22"/>
  <c r="R22"/>
  <c r="P22"/>
  <c r="N22"/>
  <c r="K22"/>
  <c r="H22"/>
  <c r="W21"/>
  <c r="U21"/>
  <c r="R21"/>
  <c r="P21"/>
  <c r="N21"/>
  <c r="K21"/>
  <c r="H21"/>
  <c r="W20"/>
  <c r="U20"/>
  <c r="R20"/>
  <c r="P20"/>
  <c r="N20"/>
  <c r="H20"/>
  <c r="D20" s="1"/>
  <c r="E20"/>
  <c r="W19"/>
  <c r="U19"/>
  <c r="R19"/>
  <c r="P19"/>
  <c r="N19"/>
  <c r="H19"/>
  <c r="D19" s="1"/>
  <c r="E19"/>
  <c r="W18"/>
  <c r="U18"/>
  <c r="R18"/>
  <c r="R16" s="1"/>
  <c r="P18"/>
  <c r="N18"/>
  <c r="H18"/>
  <c r="D18" s="1"/>
  <c r="E18"/>
  <c r="W17"/>
  <c r="W15" s="1"/>
  <c r="U17"/>
  <c r="U15" s="1"/>
  <c r="R17"/>
  <c r="P17"/>
  <c r="P15" s="1"/>
  <c r="N17"/>
  <c r="H17"/>
  <c r="D17" s="1"/>
  <c r="E17"/>
  <c r="X16"/>
  <c r="V16"/>
  <c r="T16"/>
  <c r="S16"/>
  <c r="Q16"/>
  <c r="P16"/>
  <c r="O16"/>
  <c r="M16"/>
  <c r="L16"/>
  <c r="J16"/>
  <c r="I16"/>
  <c r="G16"/>
  <c r="F16"/>
  <c r="F13" s="1"/>
  <c r="X15"/>
  <c r="V15"/>
  <c r="T15"/>
  <c r="S15"/>
  <c r="Q15"/>
  <c r="O15"/>
  <c r="M15"/>
  <c r="L15"/>
  <c r="J15"/>
  <c r="I15"/>
  <c r="G15"/>
  <c r="F15"/>
  <c r="H14"/>
  <c r="G13"/>
  <c r="I33" i="25"/>
  <c r="I33" i="27" s="1"/>
  <c r="I14" i="33" l="1"/>
  <c r="I14" i="41"/>
  <c r="J21" i="33"/>
  <c r="J21" i="41"/>
  <c r="J20" i="33"/>
  <c r="I22" i="36" s="1"/>
  <c r="J20" i="41"/>
  <c r="J19" i="33"/>
  <c r="I21" i="36" s="1"/>
  <c r="J19" i="41"/>
  <c r="J18" i="33"/>
  <c r="J18" i="41"/>
  <c r="J16" s="1"/>
  <c r="J17" i="33"/>
  <c r="J17" i="41"/>
  <c r="J15" s="1"/>
  <c r="L14" i="33"/>
  <c r="L14" i="41"/>
  <c r="K14" s="1"/>
  <c r="M21" i="33"/>
  <c r="M21" i="41"/>
  <c r="M18" i="33"/>
  <c r="M18" i="41"/>
  <c r="M16" s="1"/>
  <c r="M17" i="33"/>
  <c r="M15" s="1"/>
  <c r="M17" i="41"/>
  <c r="M15" s="1"/>
  <c r="J33" i="33"/>
  <c r="H33" i="41"/>
  <c r="I71" i="33"/>
  <c r="I71" i="41"/>
  <c r="I70" i="33"/>
  <c r="I70" i="41"/>
  <c r="I68" i="33"/>
  <c r="I68" i="41"/>
  <c r="I67" i="33"/>
  <c r="I67" i="41"/>
  <c r="J65" i="33"/>
  <c r="J65" i="41"/>
  <c r="J64" i="33"/>
  <c r="J64" i="41"/>
  <c r="J63" i="33"/>
  <c r="J63" i="41"/>
  <c r="J62" i="33"/>
  <c r="J62" i="41"/>
  <c r="J61" i="33"/>
  <c r="J61" i="41"/>
  <c r="J60" i="33"/>
  <c r="J60" i="41"/>
  <c r="J59" i="33"/>
  <c r="J59" i="41"/>
  <c r="J58" i="33"/>
  <c r="J58" i="41"/>
  <c r="J57" i="33"/>
  <c r="J56"/>
  <c r="J55"/>
  <c r="J53"/>
  <c r="J53" i="41"/>
  <c r="J51" i="33"/>
  <c r="J49"/>
  <c r="J49" i="41"/>
  <c r="J48" i="33"/>
  <c r="J48" i="41"/>
  <c r="J47" i="33"/>
  <c r="J47" i="41"/>
  <c r="J46" i="33"/>
  <c r="J46" i="41"/>
  <c r="J45" i="33"/>
  <c r="J45" i="41"/>
  <c r="J43" i="33"/>
  <c r="J43" i="41"/>
  <c r="I40" i="33"/>
  <c r="I39"/>
  <c r="I38"/>
  <c r="I37"/>
  <c r="I35"/>
  <c r="M33"/>
  <c r="L71"/>
  <c r="L71" i="41"/>
  <c r="L70" i="33"/>
  <c r="L70" i="41"/>
  <c r="L69" i="33"/>
  <c r="L69" i="41"/>
  <c r="L68" i="33"/>
  <c r="L68" i="41"/>
  <c r="L67" i="33"/>
  <c r="L67" i="41"/>
  <c r="L66" i="33"/>
  <c r="L66" i="41"/>
  <c r="L65" i="33"/>
  <c r="L65" i="41"/>
  <c r="L64" i="33"/>
  <c r="L64" i="41"/>
  <c r="L63" i="33"/>
  <c r="L63" i="41"/>
  <c r="L62" i="33"/>
  <c r="L62" i="41"/>
  <c r="L61" i="33"/>
  <c r="L61" i="41"/>
  <c r="L60" i="33"/>
  <c r="L60" i="41"/>
  <c r="L59" i="33"/>
  <c r="L59" i="41"/>
  <c r="L58" i="33"/>
  <c r="L58" i="41"/>
  <c r="L57" i="33"/>
  <c r="L57" i="41"/>
  <c r="L56" i="33"/>
  <c r="L56" i="41"/>
  <c r="L55" i="33"/>
  <c r="L54"/>
  <c r="L52"/>
  <c r="L52" i="41"/>
  <c r="L50" i="33"/>
  <c r="L50" i="41"/>
  <c r="L49" i="33"/>
  <c r="L49" i="41"/>
  <c r="L48" i="33"/>
  <c r="L48" i="41"/>
  <c r="L46" i="33"/>
  <c r="L46" i="41"/>
  <c r="L45" i="33"/>
  <c r="L45" i="41"/>
  <c r="L44" i="33"/>
  <c r="L44" i="41"/>
  <c r="L43" i="33"/>
  <c r="L43" i="41"/>
  <c r="L42" i="33"/>
  <c r="L42" i="41"/>
  <c r="L40" i="33"/>
  <c r="L40" i="41"/>
  <c r="L39" i="33"/>
  <c r="L38"/>
  <c r="L36"/>
  <c r="H38" i="36" s="1"/>
  <c r="L36" i="41"/>
  <c r="L35" i="33"/>
  <c r="L35" i="41"/>
  <c r="J75" i="33"/>
  <c r="J75" i="41"/>
  <c r="J85" i="33"/>
  <c r="J85" i="41"/>
  <c r="J83" i="33"/>
  <c r="J83" i="41"/>
  <c r="J81" i="33"/>
  <c r="J81" i="41"/>
  <c r="J79" i="33"/>
  <c r="J79" i="41"/>
  <c r="J77" i="33"/>
  <c r="J77" i="41"/>
  <c r="L75" i="33"/>
  <c r="M86"/>
  <c r="M86" i="41"/>
  <c r="M84" i="33"/>
  <c r="M84" i="41"/>
  <c r="M82" i="33"/>
  <c r="M82" i="41"/>
  <c r="M80" i="33"/>
  <c r="M80" i="41"/>
  <c r="M78" i="33"/>
  <c r="M78" i="41"/>
  <c r="M76" i="33"/>
  <c r="M76" i="41"/>
  <c r="J88" i="33"/>
  <c r="J88" i="41"/>
  <c r="I93" i="33"/>
  <c r="I92"/>
  <c r="J90"/>
  <c r="J90" i="41"/>
  <c r="L88" i="33"/>
  <c r="M93"/>
  <c r="M93" i="41"/>
  <c r="M92" i="33"/>
  <c r="M92" i="41"/>
  <c r="M91" i="33"/>
  <c r="M91" i="41"/>
  <c r="M89" i="33"/>
  <c r="M89" i="41"/>
  <c r="M87" s="1"/>
  <c r="I95" i="33"/>
  <c r="I95" i="41"/>
  <c r="J97" i="33"/>
  <c r="J97" i="41"/>
  <c r="I96" i="33"/>
  <c r="I96" i="41"/>
  <c r="L97" i="33"/>
  <c r="L96"/>
  <c r="L96" i="41"/>
  <c r="H15" i="26"/>
  <c r="K15"/>
  <c r="D26"/>
  <c r="D30"/>
  <c r="D36"/>
  <c r="D43"/>
  <c r="D44"/>
  <c r="D45"/>
  <c r="D61"/>
  <c r="D76"/>
  <c r="N72"/>
  <c r="R72"/>
  <c r="W72"/>
  <c r="H128"/>
  <c r="R128"/>
  <c r="D150"/>
  <c r="D154"/>
  <c r="H19" i="27"/>
  <c r="H21"/>
  <c r="K46"/>
  <c r="K93"/>
  <c r="U94"/>
  <c r="K97"/>
  <c r="D121"/>
  <c r="K128"/>
  <c r="J14" i="33"/>
  <c r="J14" i="41"/>
  <c r="I21" i="33"/>
  <c r="I21" i="41"/>
  <c r="H21" s="1"/>
  <c r="I20" i="33"/>
  <c r="H20" i="41"/>
  <c r="I19" i="33"/>
  <c r="H19" i="41"/>
  <c r="I18" i="33"/>
  <c r="I17"/>
  <c r="L21"/>
  <c r="L21" i="41"/>
  <c r="K21" s="1"/>
  <c r="L20" i="33"/>
  <c r="K20" i="41"/>
  <c r="L19" i="33"/>
  <c r="K19" i="41"/>
  <c r="L18" i="33"/>
  <c r="L18" i="41"/>
  <c r="L17" i="33"/>
  <c r="L17" i="41"/>
  <c r="J71" i="33"/>
  <c r="J71" i="41"/>
  <c r="J70" i="33"/>
  <c r="J70" i="41"/>
  <c r="J69" i="33"/>
  <c r="J69" i="41"/>
  <c r="H69" s="1"/>
  <c r="J68" i="33"/>
  <c r="J68" i="41"/>
  <c r="J67" i="33"/>
  <c r="J67" i="41"/>
  <c r="J66" i="33"/>
  <c r="J66" i="41"/>
  <c r="I65" i="33"/>
  <c r="I65" i="41"/>
  <c r="H65" s="1"/>
  <c r="I64" i="33"/>
  <c r="I64" i="41"/>
  <c r="H64" s="1"/>
  <c r="I63" i="33"/>
  <c r="I63" i="41"/>
  <c r="H63" s="1"/>
  <c r="I62" i="33"/>
  <c r="I62" i="41"/>
  <c r="H62" s="1"/>
  <c r="I61" i="33"/>
  <c r="I61" i="41"/>
  <c r="H61" s="1"/>
  <c r="I60" i="33"/>
  <c r="I60" i="41"/>
  <c r="H60" s="1"/>
  <c r="I59" i="33"/>
  <c r="I59" i="41"/>
  <c r="H59" s="1"/>
  <c r="I58" i="33"/>
  <c r="I58" i="41"/>
  <c r="H58" s="1"/>
  <c r="I57" i="33"/>
  <c r="H57" i="41"/>
  <c r="I56" i="33"/>
  <c r="H56" i="41"/>
  <c r="J54" i="33"/>
  <c r="J52"/>
  <c r="J52" i="41"/>
  <c r="J50" i="33"/>
  <c r="I49"/>
  <c r="I49" i="41"/>
  <c r="H49" s="1"/>
  <c r="I48" i="33"/>
  <c r="I48" i="41"/>
  <c r="H48" s="1"/>
  <c r="I47" i="33"/>
  <c r="I47" i="41"/>
  <c r="H47" s="1"/>
  <c r="I46" i="33"/>
  <c r="I46" i="41"/>
  <c r="H46" s="1"/>
  <c r="J44" i="33"/>
  <c r="J44" i="41"/>
  <c r="J41" i="33"/>
  <c r="J41" i="41"/>
  <c r="H41" s="1"/>
  <c r="J40" i="33"/>
  <c r="J40" i="41"/>
  <c r="J39" i="33"/>
  <c r="J39" i="41"/>
  <c r="J38" i="33"/>
  <c r="J38" i="41"/>
  <c r="J37" i="33"/>
  <c r="J37" i="41"/>
  <c r="J36" i="33"/>
  <c r="J36" i="41"/>
  <c r="H36" s="1"/>
  <c r="J35" i="33"/>
  <c r="J35" i="41"/>
  <c r="J34" i="33"/>
  <c r="M71"/>
  <c r="M71" i="41"/>
  <c r="M70" i="33"/>
  <c r="M70" i="41"/>
  <c r="M69" i="33"/>
  <c r="M69" i="41"/>
  <c r="M68" i="33"/>
  <c r="M68" i="41"/>
  <c r="M67" i="33"/>
  <c r="M67" i="41"/>
  <c r="M66" i="33"/>
  <c r="M66" i="41"/>
  <c r="M65" i="33"/>
  <c r="M65" i="41"/>
  <c r="M64" i="33"/>
  <c r="M64" i="41"/>
  <c r="M63" i="33"/>
  <c r="M63" i="41"/>
  <c r="M62" i="33"/>
  <c r="M62" i="41"/>
  <c r="M61" i="33"/>
  <c r="M61" i="41"/>
  <c r="M60" i="33"/>
  <c r="M60" i="41"/>
  <c r="M59" i="33"/>
  <c r="M59" i="41"/>
  <c r="M58" i="33"/>
  <c r="M58" i="41"/>
  <c r="M57" i="33"/>
  <c r="M57" i="41"/>
  <c r="M56" i="33"/>
  <c r="M56" i="41"/>
  <c r="M55" i="33"/>
  <c r="M55" i="41"/>
  <c r="M54" i="33"/>
  <c r="M54" i="41"/>
  <c r="M53" i="33"/>
  <c r="M53" i="41"/>
  <c r="K53" s="1"/>
  <c r="M52" i="33"/>
  <c r="M52" i="41"/>
  <c r="M51" i="33"/>
  <c r="M51" i="41"/>
  <c r="K51" s="1"/>
  <c r="M50" i="33"/>
  <c r="M50" i="41"/>
  <c r="M49" i="33"/>
  <c r="M49" i="41"/>
  <c r="M48" i="33"/>
  <c r="M48" i="41"/>
  <c r="M47" i="33"/>
  <c r="M47" i="41"/>
  <c r="K47" s="1"/>
  <c r="M46" i="33"/>
  <c r="M46" i="41"/>
  <c r="M45" i="33"/>
  <c r="M45" i="41"/>
  <c r="M44" i="33"/>
  <c r="M44" i="41"/>
  <c r="M43" i="33"/>
  <c r="M43" i="41"/>
  <c r="M42" i="33"/>
  <c r="M42" i="41"/>
  <c r="M41" i="33"/>
  <c r="M41" i="41"/>
  <c r="K41" s="1"/>
  <c r="M40" i="33"/>
  <c r="M40" i="41"/>
  <c r="M39" i="33"/>
  <c r="M39" i="41"/>
  <c r="M38" i="33"/>
  <c r="M38" i="41"/>
  <c r="M37" i="33"/>
  <c r="M37" i="41"/>
  <c r="K37" s="1"/>
  <c r="M36" i="33"/>
  <c r="M36" i="41"/>
  <c r="M35" i="33"/>
  <c r="M35" i="41"/>
  <c r="M34" i="33"/>
  <c r="J86"/>
  <c r="J86" i="41"/>
  <c r="J84" i="33"/>
  <c r="J84" i="41"/>
  <c r="J82" i="33"/>
  <c r="J82" i="41"/>
  <c r="J80" i="33"/>
  <c r="J80" i="41"/>
  <c r="J78" i="33"/>
  <c r="J78" i="41"/>
  <c r="J76" i="33"/>
  <c r="J76" i="41"/>
  <c r="J74" s="1"/>
  <c r="J72" s="1"/>
  <c r="M75" i="33"/>
  <c r="M75" i="41"/>
  <c r="M85" i="33"/>
  <c r="M85" i="41"/>
  <c r="M83" i="33"/>
  <c r="M83" i="41"/>
  <c r="M81" i="33"/>
  <c r="M81" i="41"/>
  <c r="M79" i="33"/>
  <c r="M79" i="41"/>
  <c r="M77" i="33"/>
  <c r="M77" i="41"/>
  <c r="J93" i="33"/>
  <c r="I95" i="42" s="1"/>
  <c r="G95" s="1"/>
  <c r="E95" s="1"/>
  <c r="F95" s="1"/>
  <c r="J93" i="41"/>
  <c r="J92" i="33"/>
  <c r="J92" i="41"/>
  <c r="J91" i="33"/>
  <c r="I93" i="42" s="1"/>
  <c r="G93" s="1"/>
  <c r="E93" s="1"/>
  <c r="F93" s="1"/>
  <c r="J91" i="41"/>
  <c r="J89" i="33"/>
  <c r="J89" i="41"/>
  <c r="J87" s="1"/>
  <c r="M88" i="33"/>
  <c r="M88" i="41"/>
  <c r="L93" i="33"/>
  <c r="K93" i="41"/>
  <c r="L92" i="33"/>
  <c r="K92" i="41"/>
  <c r="M90" i="33"/>
  <c r="M90" i="41"/>
  <c r="L89" i="33"/>
  <c r="J95"/>
  <c r="J95" i="41"/>
  <c r="J96" i="33"/>
  <c r="J96" i="41"/>
  <c r="L95" i="33"/>
  <c r="L95" i="41"/>
  <c r="M97" i="33"/>
  <c r="M97" i="41"/>
  <c r="M96" i="33"/>
  <c r="M96" i="41"/>
  <c r="M94" s="1"/>
  <c r="R16" i="27"/>
  <c r="E87" i="26"/>
  <c r="P87"/>
  <c r="D106"/>
  <c r="D122"/>
  <c r="N15" i="27"/>
  <c r="W15"/>
  <c r="D28"/>
  <c r="I23" i="3"/>
  <c r="I23" i="36"/>
  <c r="I20" i="3"/>
  <c r="I20" i="36"/>
  <c r="I19" i="3"/>
  <c r="I19" i="36"/>
  <c r="I66" i="3"/>
  <c r="I66" i="36"/>
  <c r="I64" i="3"/>
  <c r="I64" i="36"/>
  <c r="I62" i="3"/>
  <c r="I62" i="36"/>
  <c r="I60" i="3"/>
  <c r="I60" i="36"/>
  <c r="I58" i="3"/>
  <c r="I58" i="36"/>
  <c r="I87" i="3"/>
  <c r="I87" i="36"/>
  <c r="I85" i="3"/>
  <c r="I85" i="36"/>
  <c r="I83" i="3"/>
  <c r="I83" i="36"/>
  <c r="I81" i="3"/>
  <c r="I81" i="36"/>
  <c r="I79" i="3"/>
  <c r="I79" i="36"/>
  <c r="I90" i="3"/>
  <c r="I90" i="36"/>
  <c r="I92" i="3"/>
  <c r="I92" i="36"/>
  <c r="D88" i="26"/>
  <c r="D89"/>
  <c r="K94"/>
  <c r="H30" i="27"/>
  <c r="I16" i="3"/>
  <c r="I16" i="36"/>
  <c r="I72" i="3"/>
  <c r="I72" i="36"/>
  <c r="I70" i="3"/>
  <c r="I70" i="36"/>
  <c r="I68" i="3"/>
  <c r="I68" i="36"/>
  <c r="I54" i="3"/>
  <c r="I54" i="36"/>
  <c r="I46" i="3"/>
  <c r="I46" i="36"/>
  <c r="I42" i="3"/>
  <c r="I42" i="36"/>
  <c r="I40" i="3"/>
  <c r="I40" i="36"/>
  <c r="I38" i="3"/>
  <c r="I38" i="36"/>
  <c r="G38" s="1"/>
  <c r="E38" s="1"/>
  <c r="F38" s="1"/>
  <c r="I36" i="3"/>
  <c r="I36" i="36"/>
  <c r="I95" i="3"/>
  <c r="I95" i="36"/>
  <c r="I93" i="3"/>
  <c r="I93" i="36"/>
  <c r="N16" i="26"/>
  <c r="D41"/>
  <c r="D47"/>
  <c r="D48"/>
  <c r="D49"/>
  <c r="D68"/>
  <c r="D70"/>
  <c r="D102"/>
  <c r="D104"/>
  <c r="D105"/>
  <c r="R87" i="27"/>
  <c r="D107"/>
  <c r="D113"/>
  <c r="D117"/>
  <c r="D119"/>
  <c r="D120"/>
  <c r="D129"/>
  <c r="D133"/>
  <c r="D135"/>
  <c r="D137"/>
  <c r="D143"/>
  <c r="D149"/>
  <c r="D153"/>
  <c r="H26"/>
  <c r="E15" i="26"/>
  <c r="R15"/>
  <c r="U87"/>
  <c r="U98" s="1"/>
  <c r="D114"/>
  <c r="D116"/>
  <c r="D124"/>
  <c r="D130"/>
  <c r="D138"/>
  <c r="N16" i="27"/>
  <c r="W16"/>
  <c r="D32"/>
  <c r="E140"/>
  <c r="I23"/>
  <c r="H23" s="1"/>
  <c r="R73"/>
  <c r="R94"/>
  <c r="R98" s="1"/>
  <c r="R139"/>
  <c r="J23"/>
  <c r="I69" i="33"/>
  <c r="H69" i="27"/>
  <c r="D69" s="1"/>
  <c r="I41" i="33"/>
  <c r="H41" i="27"/>
  <c r="L53" i="33"/>
  <c r="K53" i="27"/>
  <c r="L51" i="33"/>
  <c r="K51" s="1"/>
  <c r="K51" i="27"/>
  <c r="L47" i="33"/>
  <c r="H49" i="36" s="1"/>
  <c r="K47" i="27"/>
  <c r="L41" i="33"/>
  <c r="K41" i="27"/>
  <c r="L37" i="33"/>
  <c r="H39" i="36" s="1"/>
  <c r="K37" i="27"/>
  <c r="M95" i="33"/>
  <c r="I97" i="3" s="1"/>
  <c r="M94" i="27"/>
  <c r="K94" s="1"/>
  <c r="D59" i="26"/>
  <c r="D71"/>
  <c r="R87"/>
  <c r="R98" s="1"/>
  <c r="H25" i="27"/>
  <c r="D25" s="1"/>
  <c r="K39"/>
  <c r="K49"/>
  <c r="P87"/>
  <c r="P98" s="1"/>
  <c r="K95"/>
  <c r="K96"/>
  <c r="D96" s="1"/>
  <c r="H29"/>
  <c r="D29" s="1"/>
  <c r="N74"/>
  <c r="N72" s="1"/>
  <c r="N98" s="1"/>
  <c r="I100" i="26"/>
  <c r="D97"/>
  <c r="D136"/>
  <c r="K65" i="27"/>
  <c r="D65" s="1"/>
  <c r="D105"/>
  <c r="D40" i="26"/>
  <c r="D69"/>
  <c r="D110"/>
  <c r="D112"/>
  <c r="D113"/>
  <c r="D151"/>
  <c r="D155"/>
  <c r="K35" i="27"/>
  <c r="K43"/>
  <c r="K45"/>
  <c r="H64"/>
  <c r="D125"/>
  <c r="D127"/>
  <c r="D146"/>
  <c r="D152"/>
  <c r="D156"/>
  <c r="H31"/>
  <c r="D31" s="1"/>
  <c r="H27"/>
  <c r="D27" s="1"/>
  <c r="K92" i="33"/>
  <c r="U16" i="26"/>
  <c r="D37"/>
  <c r="D38"/>
  <c r="D39"/>
  <c r="D65"/>
  <c r="K74"/>
  <c r="D118"/>
  <c r="D120"/>
  <c r="D121"/>
  <c r="D132"/>
  <c r="D134"/>
  <c r="D135"/>
  <c r="D149"/>
  <c r="D153"/>
  <c r="E13" i="27"/>
  <c r="K44"/>
  <c r="K48"/>
  <c r="H56"/>
  <c r="D56" s="1"/>
  <c r="H62"/>
  <c r="K66"/>
  <c r="W73"/>
  <c r="E87"/>
  <c r="D103"/>
  <c r="D104"/>
  <c r="D115"/>
  <c r="D141"/>
  <c r="W139"/>
  <c r="P140"/>
  <c r="D145"/>
  <c r="E139"/>
  <c r="D151"/>
  <c r="D155"/>
  <c r="D30"/>
  <c r="D26"/>
  <c r="I50" i="3"/>
  <c r="I48"/>
  <c r="K70" i="33"/>
  <c r="K68"/>
  <c r="K66"/>
  <c r="K64"/>
  <c r="K62"/>
  <c r="K60"/>
  <c r="K58"/>
  <c r="K56"/>
  <c r="K54"/>
  <c r="K52"/>
  <c r="K50"/>
  <c r="K48"/>
  <c r="K46"/>
  <c r="K44"/>
  <c r="K42"/>
  <c r="K40"/>
  <c r="K38"/>
  <c r="K36"/>
  <c r="D136" i="27"/>
  <c r="R140"/>
  <c r="K20" i="33"/>
  <c r="H24" i="27"/>
  <c r="D24" s="1"/>
  <c r="W16" i="26"/>
  <c r="K23"/>
  <c r="D23" s="1"/>
  <c r="D27"/>
  <c r="D31"/>
  <c r="D55"/>
  <c r="D57"/>
  <c r="D60"/>
  <c r="D64"/>
  <c r="X98"/>
  <c r="K87"/>
  <c r="D95"/>
  <c r="D108"/>
  <c r="D126"/>
  <c r="K139"/>
  <c r="D139" s="1"/>
  <c r="U139"/>
  <c r="N140"/>
  <c r="W140"/>
  <c r="D144"/>
  <c r="R140"/>
  <c r="D152"/>
  <c r="E15" i="27"/>
  <c r="R15"/>
  <c r="D22"/>
  <c r="K36"/>
  <c r="H58"/>
  <c r="H60"/>
  <c r="J87"/>
  <c r="K89"/>
  <c r="D109"/>
  <c r="D111"/>
  <c r="D112"/>
  <c r="D123"/>
  <c r="D131"/>
  <c r="P139"/>
  <c r="D144"/>
  <c r="D150"/>
  <c r="D154"/>
  <c r="I56" i="3"/>
  <c r="I52"/>
  <c r="I80"/>
  <c r="M73" i="33"/>
  <c r="I94" i="3"/>
  <c r="I33" i="33"/>
  <c r="H33" i="27"/>
  <c r="D15" i="26"/>
  <c r="E16"/>
  <c r="E13" s="1"/>
  <c r="E98" s="1"/>
  <c r="P73"/>
  <c r="Q98"/>
  <c r="P139"/>
  <c r="V98" i="27"/>
  <c r="H22" i="3"/>
  <c r="H20" i="33"/>
  <c r="K18"/>
  <c r="L16"/>
  <c r="H73" i="3"/>
  <c r="H71" i="33"/>
  <c r="H69" i="3"/>
  <c r="H67" i="33"/>
  <c r="H65" i="3"/>
  <c r="H63" i="33"/>
  <c r="H61" i="3"/>
  <c r="H59" i="33"/>
  <c r="H51" i="3"/>
  <c r="H49" i="33"/>
  <c r="H37"/>
  <c r="H39" i="3"/>
  <c r="K97" i="33"/>
  <c r="F98" i="26"/>
  <c r="V98"/>
  <c r="G98"/>
  <c r="D107"/>
  <c r="D129"/>
  <c r="D137"/>
  <c r="D143"/>
  <c r="U140"/>
  <c r="H18" i="27"/>
  <c r="D18" s="1"/>
  <c r="K50"/>
  <c r="K52"/>
  <c r="H61"/>
  <c r="H63"/>
  <c r="K64"/>
  <c r="H71"/>
  <c r="D114"/>
  <c r="D122"/>
  <c r="D138"/>
  <c r="N139"/>
  <c r="D142"/>
  <c r="I78" i="3"/>
  <c r="J74" i="33"/>
  <c r="M74"/>
  <c r="M72" s="1"/>
  <c r="I91" i="3"/>
  <c r="J87" i="33"/>
  <c r="I89" i="42" s="1"/>
  <c r="G89" s="1"/>
  <c r="E89" s="1"/>
  <c r="F89" s="1"/>
  <c r="M87" i="33"/>
  <c r="I99" i="3"/>
  <c r="L94" i="33"/>
  <c r="M13" i="26"/>
  <c r="M98" s="1"/>
  <c r="N15"/>
  <c r="D22"/>
  <c r="D25"/>
  <c r="D29"/>
  <c r="D35"/>
  <c r="D46"/>
  <c r="D63"/>
  <c r="D67"/>
  <c r="H87"/>
  <c r="N87"/>
  <c r="H94"/>
  <c r="D94" s="1"/>
  <c r="D96"/>
  <c r="D109"/>
  <c r="D117"/>
  <c r="D125"/>
  <c r="K128"/>
  <c r="D131"/>
  <c r="E139"/>
  <c r="D142"/>
  <c r="D146"/>
  <c r="K14" i="27"/>
  <c r="K17"/>
  <c r="D17" s="1"/>
  <c r="K18"/>
  <c r="K19"/>
  <c r="D19" s="1"/>
  <c r="H20"/>
  <c r="K21"/>
  <c r="H40"/>
  <c r="K54"/>
  <c r="K55"/>
  <c r="K56"/>
  <c r="K57"/>
  <c r="K58"/>
  <c r="D58" s="1"/>
  <c r="K59"/>
  <c r="K60"/>
  <c r="D60" s="1"/>
  <c r="K61"/>
  <c r="K62"/>
  <c r="D62" s="1"/>
  <c r="K63"/>
  <c r="H67"/>
  <c r="D67" s="1"/>
  <c r="K68"/>
  <c r="D68" s="1"/>
  <c r="K71"/>
  <c r="J73"/>
  <c r="K75"/>
  <c r="K76"/>
  <c r="U87"/>
  <c r="U98" s="1"/>
  <c r="K92"/>
  <c r="J94"/>
  <c r="H93" s="1"/>
  <c r="D93" s="1"/>
  <c r="O98"/>
  <c r="S98"/>
  <c r="E94"/>
  <c r="W94"/>
  <c r="W98" s="1"/>
  <c r="D108"/>
  <c r="D116"/>
  <c r="D124"/>
  <c r="R128"/>
  <c r="D132"/>
  <c r="H23" i="3"/>
  <c r="G23" s="1"/>
  <c r="H21" i="33"/>
  <c r="H21" i="3"/>
  <c r="H19" i="33"/>
  <c r="H19" i="3"/>
  <c r="G19" s="1"/>
  <c r="H17" i="33"/>
  <c r="I15"/>
  <c r="K21"/>
  <c r="L15"/>
  <c r="K15" s="1"/>
  <c r="K19"/>
  <c r="K17"/>
  <c r="I35" i="3"/>
  <c r="H72"/>
  <c r="G72" s="1"/>
  <c r="H70" i="33"/>
  <c r="H70" i="3"/>
  <c r="G70" s="1"/>
  <c r="H68" i="33"/>
  <c r="H66" i="3"/>
  <c r="G66" s="1"/>
  <c r="H64" i="33"/>
  <c r="H64" i="3"/>
  <c r="G64" s="1"/>
  <c r="H62" i="33"/>
  <c r="D62" s="1"/>
  <c r="H62" i="3"/>
  <c r="G62" s="1"/>
  <c r="H60" i="33"/>
  <c r="H60" i="3"/>
  <c r="G60" s="1"/>
  <c r="H58" i="33"/>
  <c r="D58" s="1"/>
  <c r="H58" i="3"/>
  <c r="G58" s="1"/>
  <c r="H56" i="33"/>
  <c r="H50" i="3"/>
  <c r="G50" s="1"/>
  <c r="H48" i="33"/>
  <c r="H48" i="3"/>
  <c r="G48" s="1"/>
  <c r="H46" i="33"/>
  <c r="H40"/>
  <c r="D40" s="1"/>
  <c r="H42" i="3"/>
  <c r="G42" s="1"/>
  <c r="H38" i="33"/>
  <c r="H40" i="3"/>
  <c r="G40" s="1"/>
  <c r="H36" i="33"/>
  <c r="H38" i="3"/>
  <c r="G38" s="1"/>
  <c r="K71" i="33"/>
  <c r="K69"/>
  <c r="K67"/>
  <c r="K65"/>
  <c r="K63"/>
  <c r="K61"/>
  <c r="K59"/>
  <c r="K57"/>
  <c r="K55"/>
  <c r="K53"/>
  <c r="K49"/>
  <c r="K47"/>
  <c r="K45"/>
  <c r="K43"/>
  <c r="K41"/>
  <c r="K39"/>
  <c r="K37"/>
  <c r="K35"/>
  <c r="I77" i="3"/>
  <c r="J73" i="33"/>
  <c r="K76"/>
  <c r="H95" i="3"/>
  <c r="G95" s="1"/>
  <c r="K93" i="33"/>
  <c r="K89"/>
  <c r="K96"/>
  <c r="P94" i="26"/>
  <c r="G98" i="27"/>
  <c r="Q98"/>
  <c r="H20" i="3"/>
  <c r="G20" s="1"/>
  <c r="H18" i="33"/>
  <c r="I16"/>
  <c r="H18" i="36" s="1"/>
  <c r="H71" i="3"/>
  <c r="H69" i="33"/>
  <c r="H67" i="3"/>
  <c r="H65" i="33"/>
  <c r="H63" i="3"/>
  <c r="H61" i="33"/>
  <c r="H59" i="3"/>
  <c r="H57" i="33"/>
  <c r="H49" i="3"/>
  <c r="H47" i="33"/>
  <c r="H39"/>
  <c r="H41" i="3"/>
  <c r="H35" i="33"/>
  <c r="D35" s="1"/>
  <c r="H37" i="3"/>
  <c r="H92" i="33"/>
  <c r="H94" i="3"/>
  <c r="G94" s="1"/>
  <c r="J94" i="33"/>
  <c r="H98" i="3"/>
  <c r="H96" i="33"/>
  <c r="D56" i="26"/>
  <c r="S98"/>
  <c r="D115"/>
  <c r="D123"/>
  <c r="K140"/>
  <c r="D140" s="1"/>
  <c r="H14" i="27"/>
  <c r="D14" s="1"/>
  <c r="H57"/>
  <c r="H59"/>
  <c r="D59" s="1"/>
  <c r="H92"/>
  <c r="I94"/>
  <c r="X98"/>
  <c r="D106"/>
  <c r="D130"/>
  <c r="J15" i="33"/>
  <c r="I21" i="3"/>
  <c r="L13" i="26"/>
  <c r="D21"/>
  <c r="D24"/>
  <c r="D28"/>
  <c r="D32"/>
  <c r="D42"/>
  <c r="D62"/>
  <c r="D66"/>
  <c r="O98"/>
  <c r="D103"/>
  <c r="D111"/>
  <c r="D119"/>
  <c r="D127"/>
  <c r="D133"/>
  <c r="D141"/>
  <c r="R139"/>
  <c r="D145"/>
  <c r="D156"/>
  <c r="K20" i="27"/>
  <c r="H35"/>
  <c r="H36"/>
  <c r="H37"/>
  <c r="D37" s="1"/>
  <c r="H38"/>
  <c r="D38" s="1"/>
  <c r="H39"/>
  <c r="D39" s="1"/>
  <c r="K40"/>
  <c r="K42"/>
  <c r="H46"/>
  <c r="D46" s="1"/>
  <c r="H47"/>
  <c r="H48"/>
  <c r="H49"/>
  <c r="D49" s="1"/>
  <c r="K67"/>
  <c r="K70"/>
  <c r="J74"/>
  <c r="J72" s="1"/>
  <c r="M87"/>
  <c r="K88"/>
  <c r="F98"/>
  <c r="L94"/>
  <c r="T98"/>
  <c r="H95"/>
  <c r="D102"/>
  <c r="D110"/>
  <c r="D118"/>
  <c r="D126"/>
  <c r="H128"/>
  <c r="D134"/>
  <c r="H16" i="3"/>
  <c r="G16" s="1"/>
  <c r="H14" i="33"/>
  <c r="J16"/>
  <c r="I22" i="3"/>
  <c r="K14" i="33"/>
  <c r="M16"/>
  <c r="M13" s="1"/>
  <c r="I73" i="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88"/>
  <c r="I86"/>
  <c r="I84"/>
  <c r="I82"/>
  <c r="K75" i="33"/>
  <c r="K88"/>
  <c r="H97" i="3"/>
  <c r="H95" i="33"/>
  <c r="I94"/>
  <c r="I98" i="3"/>
  <c r="J13" i="26"/>
  <c r="H16"/>
  <c r="D81"/>
  <c r="D51"/>
  <c r="D93"/>
  <c r="D92" i="27"/>
  <c r="D58" i="26"/>
  <c r="D84"/>
  <c r="D80"/>
  <c r="L72"/>
  <c r="K72" s="1"/>
  <c r="D77"/>
  <c r="D75"/>
  <c r="D82"/>
  <c r="D78"/>
  <c r="D91"/>
  <c r="D64" i="27"/>
  <c r="D71"/>
  <c r="D14" i="26"/>
  <c r="K23" i="27"/>
  <c r="D21"/>
  <c r="H70"/>
  <c r="D87" i="26"/>
  <c r="D92"/>
  <c r="D85"/>
  <c r="D86"/>
  <c r="H73"/>
  <c r="D52"/>
  <c r="D53"/>
  <c r="D54"/>
  <c r="D50"/>
  <c r="D33"/>
  <c r="K16"/>
  <c r="J98"/>
  <c r="N98"/>
  <c r="W98"/>
  <c r="D34"/>
  <c r="D79"/>
  <c r="D83"/>
  <c r="D90"/>
  <c r="P98"/>
  <c r="I13"/>
  <c r="L73"/>
  <c r="K73" s="1"/>
  <c r="I74"/>
  <c r="E140"/>
  <c r="I148" i="25"/>
  <c r="I97"/>
  <c r="H96" i="36" l="1"/>
  <c r="H96" i="42"/>
  <c r="D95" i="27"/>
  <c r="D36"/>
  <c r="D92" i="33"/>
  <c r="I75" i="42"/>
  <c r="G75" s="1"/>
  <c r="E75" s="1"/>
  <c r="F75" s="1"/>
  <c r="D48" i="33"/>
  <c r="D56"/>
  <c r="D64"/>
  <c r="D68"/>
  <c r="I76" i="36"/>
  <c r="I76" i="42"/>
  <c r="G76" s="1"/>
  <c r="E76" s="1"/>
  <c r="F76" s="1"/>
  <c r="H71" i="36"/>
  <c r="H71" i="42"/>
  <c r="D41" i="41"/>
  <c r="K95"/>
  <c r="L94"/>
  <c r="K94" s="1"/>
  <c r="J94"/>
  <c r="K89"/>
  <c r="M73"/>
  <c r="D47"/>
  <c r="K17"/>
  <c r="L15"/>
  <c r="K15" s="1"/>
  <c r="K18"/>
  <c r="L16"/>
  <c r="H17"/>
  <c r="D17" s="1"/>
  <c r="I15"/>
  <c r="H15" s="1"/>
  <c r="D15" s="1"/>
  <c r="H18"/>
  <c r="D18" s="1"/>
  <c r="I16"/>
  <c r="D19"/>
  <c r="D20"/>
  <c r="D21"/>
  <c r="H96"/>
  <c r="I94"/>
  <c r="H94" s="1"/>
  <c r="D94" s="1"/>
  <c r="H95"/>
  <c r="K88"/>
  <c r="H92"/>
  <c r="D92" s="1"/>
  <c r="H93"/>
  <c r="D93" s="1"/>
  <c r="K76"/>
  <c r="M74"/>
  <c r="M72" s="1"/>
  <c r="K75"/>
  <c r="J73"/>
  <c r="K35"/>
  <c r="K36"/>
  <c r="D36" s="1"/>
  <c r="K42"/>
  <c r="K43"/>
  <c r="K44"/>
  <c r="K45"/>
  <c r="K46"/>
  <c r="D46" s="1"/>
  <c r="K52"/>
  <c r="H37" i="36"/>
  <c r="H37" i="41"/>
  <c r="D37" s="1"/>
  <c r="H38"/>
  <c r="H39"/>
  <c r="H40"/>
  <c r="I45" i="36"/>
  <c r="I45" i="42"/>
  <c r="G45" s="1"/>
  <c r="E45" s="1"/>
  <c r="F45" s="1"/>
  <c r="I47" i="36"/>
  <c r="I47" i="42"/>
  <c r="G47" s="1"/>
  <c r="E47" s="1"/>
  <c r="F47" s="1"/>
  <c r="I48" i="36"/>
  <c r="I48" i="42"/>
  <c r="I49" i="36"/>
  <c r="G49" s="1"/>
  <c r="E49" s="1"/>
  <c r="I49" i="42"/>
  <c r="I50" i="36"/>
  <c r="I50" i="42"/>
  <c r="I51" i="36"/>
  <c r="I51" i="42"/>
  <c r="I53" i="36"/>
  <c r="I53" i="42"/>
  <c r="G53" s="1"/>
  <c r="E53" s="1"/>
  <c r="F53" s="1"/>
  <c r="I55" i="36"/>
  <c r="I57"/>
  <c r="I58" i="42"/>
  <c r="I59" i="36"/>
  <c r="I59" i="42"/>
  <c r="I60"/>
  <c r="I61" i="36"/>
  <c r="I61" i="42"/>
  <c r="I62"/>
  <c r="I63" i="36"/>
  <c r="I63" i="42"/>
  <c r="I64"/>
  <c r="I65" i="36"/>
  <c r="I65" i="42"/>
  <c r="I66"/>
  <c r="I67" i="36"/>
  <c r="I67" i="42"/>
  <c r="H69" i="36"/>
  <c r="H69" i="42"/>
  <c r="H70" i="36"/>
  <c r="G70" s="1"/>
  <c r="E70" s="1"/>
  <c r="H70" i="42"/>
  <c r="H70" i="41"/>
  <c r="H71"/>
  <c r="M13"/>
  <c r="I19" i="42"/>
  <c r="G19" s="1"/>
  <c r="E19" s="1"/>
  <c r="F19" s="1"/>
  <c r="I20"/>
  <c r="G20" s="1"/>
  <c r="E20" s="1"/>
  <c r="F20" s="1"/>
  <c r="I23"/>
  <c r="H16" i="36"/>
  <c r="G16" s="1"/>
  <c r="E16" s="1"/>
  <c r="F16" s="1"/>
  <c r="I98"/>
  <c r="I98" i="42"/>
  <c r="I97"/>
  <c r="I91" i="36"/>
  <c r="I91" i="42"/>
  <c r="G91" s="1"/>
  <c r="E91" s="1"/>
  <c r="F91" s="1"/>
  <c r="I94" i="36"/>
  <c r="I94" i="42"/>
  <c r="G94" s="1"/>
  <c r="E94" s="1"/>
  <c r="F94" s="1"/>
  <c r="I78" i="36"/>
  <c r="I78" i="42"/>
  <c r="G78" s="1"/>
  <c r="E78" s="1"/>
  <c r="F78" s="1"/>
  <c r="I80" i="36"/>
  <c r="I80" i="42"/>
  <c r="G80" s="1"/>
  <c r="E80" s="1"/>
  <c r="F80" s="1"/>
  <c r="I82" i="36"/>
  <c r="I82" i="42"/>
  <c r="G82" s="1"/>
  <c r="E82" s="1"/>
  <c r="F82" s="1"/>
  <c r="I84" i="36"/>
  <c r="I84" i="42"/>
  <c r="G84" s="1"/>
  <c r="E84" s="1"/>
  <c r="F84" s="1"/>
  <c r="I86" i="36"/>
  <c r="I86" i="42"/>
  <c r="G86" s="1"/>
  <c r="E86" s="1"/>
  <c r="F86" s="1"/>
  <c r="I88" i="36"/>
  <c r="I88" i="42"/>
  <c r="G88" s="1"/>
  <c r="E88" s="1"/>
  <c r="F88" s="1"/>
  <c r="I36"/>
  <c r="G36" s="1"/>
  <c r="E36" s="1"/>
  <c r="F36" s="1"/>
  <c r="I37" i="36"/>
  <c r="I37" i="42"/>
  <c r="G37" s="1"/>
  <c r="E37" s="1"/>
  <c r="F37" s="1"/>
  <c r="I38"/>
  <c r="G38" s="1"/>
  <c r="E38" s="1"/>
  <c r="F38" s="1"/>
  <c r="I39" i="36"/>
  <c r="G39" s="1"/>
  <c r="E39" s="1"/>
  <c r="F39" s="1"/>
  <c r="I39" i="42"/>
  <c r="I40"/>
  <c r="I41" i="36"/>
  <c r="I41" i="42"/>
  <c r="I42"/>
  <c r="G42" s="1"/>
  <c r="E42" s="1"/>
  <c r="F42" s="1"/>
  <c r="I43" i="36"/>
  <c r="I43" i="42"/>
  <c r="G43" s="1"/>
  <c r="E43" s="1"/>
  <c r="F43" s="1"/>
  <c r="I46"/>
  <c r="G46" s="1"/>
  <c r="E46" s="1"/>
  <c r="F46" s="1"/>
  <c r="H48" i="36"/>
  <c r="G48" s="1"/>
  <c r="E48" s="1"/>
  <c r="H48" i="42"/>
  <c r="G48" s="1"/>
  <c r="E48" s="1"/>
  <c r="H49"/>
  <c r="G49" s="1"/>
  <c r="E49" s="1"/>
  <c r="H50" i="36"/>
  <c r="G50" s="1"/>
  <c r="E50" s="1"/>
  <c r="F50" s="1"/>
  <c r="H50" i="42"/>
  <c r="G50" s="1"/>
  <c r="E50" s="1"/>
  <c r="F50" s="1"/>
  <c r="H51" i="36"/>
  <c r="G51" s="1"/>
  <c r="E51" s="1"/>
  <c r="F51" s="1"/>
  <c r="H51" i="42"/>
  <c r="G51" s="1"/>
  <c r="E51" s="1"/>
  <c r="F51" s="1"/>
  <c r="I52" i="36"/>
  <c r="I52" i="42"/>
  <c r="G52" s="1"/>
  <c r="E52" s="1"/>
  <c r="F52" s="1"/>
  <c r="I56" i="36"/>
  <c r="H58"/>
  <c r="G58" s="1"/>
  <c r="E58" s="1"/>
  <c r="F58" s="1"/>
  <c r="H58" i="42"/>
  <c r="G58" s="1"/>
  <c r="E58" s="1"/>
  <c r="F58" s="1"/>
  <c r="H59" i="36"/>
  <c r="G59" s="1"/>
  <c r="E59" s="1"/>
  <c r="F59" s="1"/>
  <c r="H59" i="42"/>
  <c r="G59" s="1"/>
  <c r="E59" s="1"/>
  <c r="F59" s="1"/>
  <c r="H60" i="36"/>
  <c r="G60" s="1"/>
  <c r="E60" s="1"/>
  <c r="F60" s="1"/>
  <c r="H60" i="42"/>
  <c r="G60" s="1"/>
  <c r="E60" s="1"/>
  <c r="F60" s="1"/>
  <c r="H61" i="36"/>
  <c r="G61" s="1"/>
  <c r="E61" s="1"/>
  <c r="F61" s="1"/>
  <c r="H61" i="42"/>
  <c r="G61" s="1"/>
  <c r="E61" s="1"/>
  <c r="F61" s="1"/>
  <c r="H62" i="36"/>
  <c r="G62" s="1"/>
  <c r="E62" s="1"/>
  <c r="H62" i="42"/>
  <c r="G62" s="1"/>
  <c r="E62" s="1"/>
  <c r="H63" i="36"/>
  <c r="G63" s="1"/>
  <c r="E63" s="1"/>
  <c r="H63" i="42"/>
  <c r="G63" s="1"/>
  <c r="E63" s="1"/>
  <c r="H64" i="36"/>
  <c r="G64" s="1"/>
  <c r="E64" s="1"/>
  <c r="H64" i="42"/>
  <c r="G64" s="1"/>
  <c r="E64" s="1"/>
  <c r="H65" i="36"/>
  <c r="G65" s="1"/>
  <c r="E65" s="1"/>
  <c r="H65" i="42"/>
  <c r="G65" s="1"/>
  <c r="E65" s="1"/>
  <c r="H66" i="36"/>
  <c r="G66" s="1"/>
  <c r="E66" s="1"/>
  <c r="H66" i="42"/>
  <c r="G66" s="1"/>
  <c r="E66" s="1"/>
  <c r="H67" i="36"/>
  <c r="G67" s="1"/>
  <c r="E67" s="1"/>
  <c r="H67" i="42"/>
  <c r="G67" s="1"/>
  <c r="E67" s="1"/>
  <c r="I68"/>
  <c r="I69" i="36"/>
  <c r="I69" i="42"/>
  <c r="I70"/>
  <c r="I71" i="36"/>
  <c r="I71" i="42"/>
  <c r="I72"/>
  <c r="I73" i="36"/>
  <c r="I73" i="42"/>
  <c r="H19" i="36"/>
  <c r="G19" s="1"/>
  <c r="E19" s="1"/>
  <c r="F19" s="1"/>
  <c r="H20"/>
  <c r="G20" s="1"/>
  <c r="E20" s="1"/>
  <c r="F20" s="1"/>
  <c r="H21"/>
  <c r="G21" s="1"/>
  <c r="E21" s="1"/>
  <c r="F21" s="1"/>
  <c r="H22"/>
  <c r="G22" s="1"/>
  <c r="E22" s="1"/>
  <c r="F22" s="1"/>
  <c r="H23"/>
  <c r="G23" s="1"/>
  <c r="E23" s="1"/>
  <c r="H23" i="42"/>
  <c r="G23" s="1"/>
  <c r="E23" s="1"/>
  <c r="K96" i="41"/>
  <c r="K97"/>
  <c r="H98" i="36"/>
  <c r="G98" s="1"/>
  <c r="E98" s="1"/>
  <c r="H98" i="42"/>
  <c r="G98" s="1"/>
  <c r="E98" s="1"/>
  <c r="I99" i="36"/>
  <c r="I99" i="42"/>
  <c r="G99" s="1"/>
  <c r="E99" s="1"/>
  <c r="F99" s="1"/>
  <c r="H97" i="36"/>
  <c r="H97" i="42"/>
  <c r="G97" s="1"/>
  <c r="E97" s="1"/>
  <c r="F97" s="1"/>
  <c r="I92"/>
  <c r="G92" s="1"/>
  <c r="E92" s="1"/>
  <c r="F92" s="1"/>
  <c r="H94" i="36"/>
  <c r="G94" s="1"/>
  <c r="E94" s="1"/>
  <c r="F94" s="1"/>
  <c r="H95"/>
  <c r="G95" s="1"/>
  <c r="E95" s="1"/>
  <c r="F95" s="1"/>
  <c r="I90" i="42"/>
  <c r="G90" s="1"/>
  <c r="E90" s="1"/>
  <c r="F90" s="1"/>
  <c r="I79"/>
  <c r="G79" s="1"/>
  <c r="E79" s="1"/>
  <c r="F79" s="1"/>
  <c r="I81"/>
  <c r="G81" s="1"/>
  <c r="E81" s="1"/>
  <c r="F81" s="1"/>
  <c r="I83"/>
  <c r="G83" s="1"/>
  <c r="E83" s="1"/>
  <c r="F83" s="1"/>
  <c r="I85"/>
  <c r="G85" s="1"/>
  <c r="E85" s="1"/>
  <c r="F85" s="1"/>
  <c r="I87"/>
  <c r="G87" s="1"/>
  <c r="E87" s="1"/>
  <c r="F87" s="1"/>
  <c r="I77" i="36"/>
  <c r="I77" i="42"/>
  <c r="G77" s="1"/>
  <c r="E77" s="1"/>
  <c r="F77" s="1"/>
  <c r="K38" i="41"/>
  <c r="K39"/>
  <c r="K40"/>
  <c r="K48"/>
  <c r="D48" s="1"/>
  <c r="K49"/>
  <c r="D49" s="1"/>
  <c r="K50"/>
  <c r="K54"/>
  <c r="K55"/>
  <c r="K56"/>
  <c r="D56" s="1"/>
  <c r="K57"/>
  <c r="D57" s="1"/>
  <c r="K58"/>
  <c r="D58" s="1"/>
  <c r="K59"/>
  <c r="D59" s="1"/>
  <c r="K60"/>
  <c r="D60" s="1"/>
  <c r="K61"/>
  <c r="D61" s="1"/>
  <c r="K62"/>
  <c r="D62" s="1"/>
  <c r="K63"/>
  <c r="D63" s="1"/>
  <c r="K64"/>
  <c r="D64" s="1"/>
  <c r="K65"/>
  <c r="D65" s="1"/>
  <c r="K66"/>
  <c r="K67"/>
  <c r="K68"/>
  <c r="K69"/>
  <c r="D69" s="1"/>
  <c r="K70"/>
  <c r="K71"/>
  <c r="H35"/>
  <c r="D35" s="1"/>
  <c r="H39" i="42"/>
  <c r="G39" s="1"/>
  <c r="E39" s="1"/>
  <c r="F39" s="1"/>
  <c r="H40" i="36"/>
  <c r="G40" s="1"/>
  <c r="E40" s="1"/>
  <c r="F40" s="1"/>
  <c r="H40" i="42"/>
  <c r="G40" s="1"/>
  <c r="E40" s="1"/>
  <c r="F40" s="1"/>
  <c r="H41" i="36"/>
  <c r="G41" s="1"/>
  <c r="E41" s="1"/>
  <c r="F41" s="1"/>
  <c r="H41" i="42"/>
  <c r="G41" s="1"/>
  <c r="E41" s="1"/>
  <c r="F41" s="1"/>
  <c r="H42" i="36"/>
  <c r="G42" s="1"/>
  <c r="E42" s="1"/>
  <c r="F42" s="1"/>
  <c r="H67" i="41"/>
  <c r="D67" s="1"/>
  <c r="H68"/>
  <c r="D68" s="1"/>
  <c r="H72" i="36"/>
  <c r="G72" s="1"/>
  <c r="E72" s="1"/>
  <c r="F72" s="1"/>
  <c r="H72" i="42"/>
  <c r="G72" s="1"/>
  <c r="E72" s="1"/>
  <c r="F72" s="1"/>
  <c r="H73" i="36"/>
  <c r="G73" s="1"/>
  <c r="E73" s="1"/>
  <c r="F73" s="1"/>
  <c r="H73" i="42"/>
  <c r="G73" s="1"/>
  <c r="E73" s="1"/>
  <c r="F73" s="1"/>
  <c r="I35" i="36"/>
  <c r="I35" i="42"/>
  <c r="G35" s="1"/>
  <c r="E35" s="1"/>
  <c r="F35" s="1"/>
  <c r="J13" i="41"/>
  <c r="J98" s="1"/>
  <c r="H14"/>
  <c r="D14" s="1"/>
  <c r="I18" i="36"/>
  <c r="H93" i="33"/>
  <c r="D93" s="1"/>
  <c r="I75" i="3"/>
  <c r="I75" i="36"/>
  <c r="H43"/>
  <c r="G43" s="1"/>
  <c r="E43" s="1"/>
  <c r="F43" s="1"/>
  <c r="I97"/>
  <c r="G97" s="1"/>
  <c r="E97" s="1"/>
  <c r="F97" s="1"/>
  <c r="I17" i="3"/>
  <c r="I17" i="36"/>
  <c r="G18"/>
  <c r="E18" s="1"/>
  <c r="F18" s="1"/>
  <c r="H17"/>
  <c r="G17" s="1"/>
  <c r="E17" s="1"/>
  <c r="F17" s="1"/>
  <c r="I89"/>
  <c r="G49" i="3"/>
  <c r="G63"/>
  <c r="G71"/>
  <c r="D37" i="33"/>
  <c r="G65" i="3"/>
  <c r="G73"/>
  <c r="G22"/>
  <c r="E98" i="27"/>
  <c r="D128" i="26"/>
  <c r="D16"/>
  <c r="G98" i="3"/>
  <c r="D19" i="33"/>
  <c r="D40" i="27"/>
  <c r="D46" i="33"/>
  <c r="D48" i="27"/>
  <c r="D23"/>
  <c r="H43" i="3"/>
  <c r="H41" i="33"/>
  <c r="G97" i="3"/>
  <c r="D57" i="27"/>
  <c r="M94" i="33"/>
  <c r="M98" s="1"/>
  <c r="D36"/>
  <c r="K95"/>
  <c r="D95" s="1"/>
  <c r="D67"/>
  <c r="D73" i="26"/>
  <c r="D128" i="27"/>
  <c r="H94"/>
  <c r="D94" s="1"/>
  <c r="D60" i="33"/>
  <c r="D70"/>
  <c r="H13" i="26"/>
  <c r="D14" i="33"/>
  <c r="D47" i="27"/>
  <c r="D35"/>
  <c r="L98" i="26"/>
  <c r="K98" s="1"/>
  <c r="M100" s="1"/>
  <c r="G37" i="3"/>
  <c r="D61" i="33"/>
  <c r="D69"/>
  <c r="D38"/>
  <c r="D20"/>
  <c r="D41" i="27"/>
  <c r="D47" i="33"/>
  <c r="K94"/>
  <c r="G43" i="3"/>
  <c r="K16" i="33"/>
  <c r="I96" i="3"/>
  <c r="G41"/>
  <c r="D57" i="33"/>
  <c r="D65"/>
  <c r="H18" i="3"/>
  <c r="H16" i="33"/>
  <c r="D16" s="1"/>
  <c r="D59"/>
  <c r="H17" i="3"/>
  <c r="G17" s="1"/>
  <c r="H15" i="33"/>
  <c r="D15" s="1"/>
  <c r="G21" i="3"/>
  <c r="I89"/>
  <c r="D63" i="27"/>
  <c r="D41" i="33"/>
  <c r="G61" i="3"/>
  <c r="G69"/>
  <c r="D18" i="33"/>
  <c r="H33"/>
  <c r="G51" i="3"/>
  <c r="K13" i="26"/>
  <c r="D13" s="1"/>
  <c r="J72" i="33"/>
  <c r="I74" i="42" s="1"/>
  <c r="G74" s="1"/>
  <c r="E74" s="1"/>
  <c r="F74" s="1"/>
  <c r="I76" i="3"/>
  <c r="I148" i="27"/>
  <c r="I140" i="25"/>
  <c r="D70" i="27"/>
  <c r="H96" i="3"/>
  <c r="G96" s="1"/>
  <c r="H94" i="33"/>
  <c r="J13"/>
  <c r="I18" i="3"/>
  <c r="D39" i="33"/>
  <c r="G59" i="3"/>
  <c r="G67"/>
  <c r="D96" i="33"/>
  <c r="D17"/>
  <c r="D21"/>
  <c r="D20" i="27"/>
  <c r="D61"/>
  <c r="G39" i="3"/>
  <c r="D49" i="33"/>
  <c r="D63"/>
  <c r="D71"/>
  <c r="I72" i="26"/>
  <c r="H74"/>
  <c r="D74" s="1"/>
  <c r="I91" i="25"/>
  <c r="I91" i="27" s="1"/>
  <c r="H91" i="41" s="1"/>
  <c r="I90" i="25"/>
  <c r="I90" i="27" s="1"/>
  <c r="H90" i="41" s="1"/>
  <c r="I78" i="25"/>
  <c r="I77"/>
  <c r="I86"/>
  <c r="I85"/>
  <c r="I80"/>
  <c r="I79"/>
  <c r="I53"/>
  <c r="I52"/>
  <c r="L78"/>
  <c r="L77"/>
  <c r="M98" i="41" l="1"/>
  <c r="D70"/>
  <c r="G69" i="36"/>
  <c r="E69" s="1"/>
  <c r="F69" s="1"/>
  <c r="D40" i="41"/>
  <c r="D38"/>
  <c r="G37" i="36"/>
  <c r="E37" s="1"/>
  <c r="F37" s="1"/>
  <c r="D96" i="41"/>
  <c r="H16"/>
  <c r="K16"/>
  <c r="D95"/>
  <c r="G71" i="42"/>
  <c r="E71" s="1"/>
  <c r="I96"/>
  <c r="I148" i="41"/>
  <c r="H148"/>
  <c r="D71"/>
  <c r="G70" i="42"/>
  <c r="E70" s="1"/>
  <c r="G69"/>
  <c r="E69" s="1"/>
  <c r="F69" s="1"/>
  <c r="D39" i="41"/>
  <c r="G71" i="36"/>
  <c r="E71" s="1"/>
  <c r="G96" i="42"/>
  <c r="E96" s="1"/>
  <c r="F96" s="1"/>
  <c r="I74" i="3"/>
  <c r="I74" i="36"/>
  <c r="I15" i="3"/>
  <c r="I15" i="36"/>
  <c r="I96"/>
  <c r="G96" s="1"/>
  <c r="E96" s="1"/>
  <c r="F96" s="1"/>
  <c r="D94" i="33"/>
  <c r="G18" i="3"/>
  <c r="J98" i="33"/>
  <c r="I91"/>
  <c r="H91" i="27"/>
  <c r="H90"/>
  <c r="I90" i="33"/>
  <c r="H148"/>
  <c r="I148"/>
  <c r="I140" i="27"/>
  <c r="H72" i="26"/>
  <c r="D72" s="1"/>
  <c r="I98"/>
  <c r="H98" s="1"/>
  <c r="D98" s="1"/>
  <c r="E99" s="1"/>
  <c r="J100" s="1"/>
  <c r="L82" i="25"/>
  <c r="L82" i="27" s="1"/>
  <c r="K82" i="41" s="1"/>
  <c r="L81" i="25"/>
  <c r="L81" i="27" s="1"/>
  <c r="K81" i="41" s="1"/>
  <c r="D16" l="1"/>
  <c r="H140"/>
  <c r="D140" s="1"/>
  <c r="I140"/>
  <c r="I100" i="3"/>
  <c r="I100" i="36"/>
  <c r="H90" i="33"/>
  <c r="L81"/>
  <c r="K81" s="1"/>
  <c r="K81" i="27"/>
  <c r="H91" i="33"/>
  <c r="L82"/>
  <c r="K82" s="1"/>
  <c r="K82" i="27"/>
  <c r="H140" i="33"/>
  <c r="D140" s="1"/>
  <c r="I140"/>
  <c r="L84" i="25"/>
  <c r="L83"/>
  <c r="L80"/>
  <c r="L79"/>
  <c r="I84"/>
  <c r="I83"/>
  <c r="I82"/>
  <c r="I81"/>
  <c r="I42"/>
  <c r="L91"/>
  <c r="L91" i="27" s="1"/>
  <c r="L90" i="25"/>
  <c r="L90" i="27" s="1"/>
  <c r="K90" i="41" s="1"/>
  <c r="D90" s="1"/>
  <c r="I34" i="25"/>
  <c r="I34" i="27" s="1"/>
  <c r="I76" i="25"/>
  <c r="I75"/>
  <c r="I89"/>
  <c r="I89" i="27" s="1"/>
  <c r="I88" i="25"/>
  <c r="I88" i="27" s="1"/>
  <c r="H88" i="41" s="1"/>
  <c r="D88" s="1"/>
  <c r="I45" i="25"/>
  <c r="I44"/>
  <c r="H89" i="41" l="1"/>
  <c r="D89" s="1"/>
  <c r="I87"/>
  <c r="H87" s="1"/>
  <c r="H34"/>
  <c r="K91"/>
  <c r="D91" s="1"/>
  <c r="L87"/>
  <c r="I88" i="33"/>
  <c r="H90" i="36" s="1"/>
  <c r="G90" s="1"/>
  <c r="E90" s="1"/>
  <c r="F90" s="1"/>
  <c r="H88" i="27"/>
  <c r="D88" s="1"/>
  <c r="I34" i="33"/>
  <c r="H34" i="27"/>
  <c r="I89" i="33"/>
  <c r="H91" i="36" s="1"/>
  <c r="G91" s="1"/>
  <c r="E91" s="1"/>
  <c r="F91" s="1"/>
  <c r="H89" i="27"/>
  <c r="D89" s="1"/>
  <c r="I87"/>
  <c r="H87" s="1"/>
  <c r="L90" i="33"/>
  <c r="H92" i="36" s="1"/>
  <c r="G92" s="1"/>
  <c r="E92" s="1"/>
  <c r="F92" s="1"/>
  <c r="K90" i="27"/>
  <c r="D90" s="1"/>
  <c r="L91" i="33"/>
  <c r="H93" i="36" s="1"/>
  <c r="G93" s="1"/>
  <c r="E93" s="1"/>
  <c r="F93" s="1"/>
  <c r="K91" i="27"/>
  <c r="D91" s="1"/>
  <c r="L87"/>
  <c r="K87" s="1"/>
  <c r="I66" i="25"/>
  <c r="I66" i="27" s="1"/>
  <c r="I66" i="41" s="1"/>
  <c r="H66" s="1"/>
  <c r="D66" s="1"/>
  <c r="K87" l="1"/>
  <c r="D87" s="1"/>
  <c r="D87" i="27"/>
  <c r="H34" i="33"/>
  <c r="K91"/>
  <c r="D91" s="1"/>
  <c r="L87"/>
  <c r="H93" i="3"/>
  <c r="G93" s="1"/>
  <c r="H89" i="33"/>
  <c r="D89" s="1"/>
  <c r="H91" i="3"/>
  <c r="G91" s="1"/>
  <c r="I87" i="33"/>
  <c r="H89" i="36" s="1"/>
  <c r="G89" s="1"/>
  <c r="E89" s="1"/>
  <c r="F89" s="1"/>
  <c r="I66" i="33"/>
  <c r="H66" i="27"/>
  <c r="D66" s="1"/>
  <c r="K90" i="33"/>
  <c r="D90" s="1"/>
  <c r="H92" i="3"/>
  <c r="G92" s="1"/>
  <c r="H88" i="33"/>
  <c r="D88" s="1"/>
  <c r="H90" i="3"/>
  <c r="G90" s="1"/>
  <c r="K81" i="25"/>
  <c r="L34"/>
  <c r="L34" i="27" s="1"/>
  <c r="L33" i="25"/>
  <c r="L33" i="27" s="1"/>
  <c r="K33" i="41" s="1"/>
  <c r="D33" s="1"/>
  <c r="W156" i="25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W140" s="1"/>
  <c r="U142"/>
  <c r="U140" s="1"/>
  <c r="R142"/>
  <c r="P142"/>
  <c r="N142"/>
  <c r="N140" s="1"/>
  <c r="K142"/>
  <c r="K140" s="1"/>
  <c r="D140" s="1"/>
  <c r="E142"/>
  <c r="E140" s="1"/>
  <c r="W141"/>
  <c r="U141"/>
  <c r="U139" s="1"/>
  <c r="R141"/>
  <c r="P141"/>
  <c r="P139" s="1"/>
  <c r="N141"/>
  <c r="K141"/>
  <c r="K139" s="1"/>
  <c r="D139" s="1"/>
  <c r="E141"/>
  <c r="X140"/>
  <c r="V140"/>
  <c r="T140"/>
  <c r="S140"/>
  <c r="Q140"/>
  <c r="O140"/>
  <c r="M140"/>
  <c r="L140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K97"/>
  <c r="E97"/>
  <c r="W96"/>
  <c r="U96"/>
  <c r="R96"/>
  <c r="P96"/>
  <c r="N96"/>
  <c r="K96"/>
  <c r="H96"/>
  <c r="E96"/>
  <c r="W95"/>
  <c r="U95"/>
  <c r="R95"/>
  <c r="R94" s="1"/>
  <c r="P95"/>
  <c r="N95"/>
  <c r="K95"/>
  <c r="H95"/>
  <c r="E95"/>
  <c r="X94"/>
  <c r="V94"/>
  <c r="T94"/>
  <c r="S94"/>
  <c r="Q94"/>
  <c r="O94"/>
  <c r="M94"/>
  <c r="L94"/>
  <c r="J94"/>
  <c r="I94"/>
  <c r="G94"/>
  <c r="F94"/>
  <c r="W93"/>
  <c r="U93"/>
  <c r="R93"/>
  <c r="P93"/>
  <c r="N93"/>
  <c r="K93"/>
  <c r="E93"/>
  <c r="W92"/>
  <c r="U92"/>
  <c r="R92"/>
  <c r="P92"/>
  <c r="N92"/>
  <c r="K92"/>
  <c r="H92"/>
  <c r="E92"/>
  <c r="W91"/>
  <c r="U91"/>
  <c r="R91"/>
  <c r="P91"/>
  <c r="N91"/>
  <c r="K91"/>
  <c r="H91"/>
  <c r="E91"/>
  <c r="W90"/>
  <c r="U90"/>
  <c r="R90"/>
  <c r="P90"/>
  <c r="N90"/>
  <c r="K90"/>
  <c r="H90"/>
  <c r="W89"/>
  <c r="U89"/>
  <c r="R89"/>
  <c r="P89"/>
  <c r="N89"/>
  <c r="K89"/>
  <c r="H89"/>
  <c r="E89"/>
  <c r="W88"/>
  <c r="U88"/>
  <c r="R88"/>
  <c r="P88"/>
  <c r="N88"/>
  <c r="K88"/>
  <c r="H88"/>
  <c r="E88"/>
  <c r="X87"/>
  <c r="V87"/>
  <c r="T87"/>
  <c r="S87"/>
  <c r="Q87"/>
  <c r="O87"/>
  <c r="M87"/>
  <c r="L87"/>
  <c r="J87"/>
  <c r="I87"/>
  <c r="G87"/>
  <c r="F87"/>
  <c r="W86"/>
  <c r="U86"/>
  <c r="R86"/>
  <c r="P86"/>
  <c r="N86"/>
  <c r="K86"/>
  <c r="H86"/>
  <c r="E86"/>
  <c r="W85"/>
  <c r="U85"/>
  <c r="R85"/>
  <c r="P85"/>
  <c r="N85"/>
  <c r="K85"/>
  <c r="H85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H82"/>
  <c r="E82"/>
  <c r="W81"/>
  <c r="U81"/>
  <c r="R81"/>
  <c r="P81"/>
  <c r="N81"/>
  <c r="H81"/>
  <c r="E81"/>
  <c r="W80"/>
  <c r="U80"/>
  <c r="R80"/>
  <c r="P80"/>
  <c r="N80"/>
  <c r="K80"/>
  <c r="H80"/>
  <c r="E80"/>
  <c r="W79"/>
  <c r="U79"/>
  <c r="R79"/>
  <c r="P79"/>
  <c r="N79"/>
  <c r="K79"/>
  <c r="H79"/>
  <c r="E79"/>
  <c r="W78"/>
  <c r="U78"/>
  <c r="R78"/>
  <c r="P78"/>
  <c r="N78"/>
  <c r="K78"/>
  <c r="H78"/>
  <c r="E78"/>
  <c r="W77"/>
  <c r="U77"/>
  <c r="R77"/>
  <c r="P77"/>
  <c r="N77"/>
  <c r="K77"/>
  <c r="H77"/>
  <c r="E77"/>
  <c r="W76"/>
  <c r="U76"/>
  <c r="R76"/>
  <c r="P76"/>
  <c r="N76"/>
  <c r="K76"/>
  <c r="H76"/>
  <c r="E76"/>
  <c r="W75"/>
  <c r="U75"/>
  <c r="R75"/>
  <c r="P75"/>
  <c r="N75"/>
  <c r="K75"/>
  <c r="H75"/>
  <c r="E75"/>
  <c r="X74"/>
  <c r="X72" s="1"/>
  <c r="V74"/>
  <c r="V72" s="1"/>
  <c r="T74"/>
  <c r="T72" s="1"/>
  <c r="S74"/>
  <c r="Q74"/>
  <c r="Q72" s="1"/>
  <c r="O74"/>
  <c r="O72" s="1"/>
  <c r="O98" s="1"/>
  <c r="M74"/>
  <c r="M72" s="1"/>
  <c r="J74"/>
  <c r="I74"/>
  <c r="I72" s="1"/>
  <c r="G74"/>
  <c r="G72" s="1"/>
  <c r="F74"/>
  <c r="F72" s="1"/>
  <c r="X73"/>
  <c r="V73"/>
  <c r="T73"/>
  <c r="S73"/>
  <c r="Q73"/>
  <c r="O73"/>
  <c r="M73"/>
  <c r="L73"/>
  <c r="J73"/>
  <c r="I73"/>
  <c r="G73"/>
  <c r="F73"/>
  <c r="E73"/>
  <c r="S72"/>
  <c r="J72"/>
  <c r="W71"/>
  <c r="U71"/>
  <c r="R71"/>
  <c r="P71"/>
  <c r="N71"/>
  <c r="K71"/>
  <c r="H71"/>
  <c r="W70"/>
  <c r="U70"/>
  <c r="R70"/>
  <c r="P70"/>
  <c r="N70"/>
  <c r="K70"/>
  <c r="H70"/>
  <c r="W69"/>
  <c r="U69"/>
  <c r="R69"/>
  <c r="P69"/>
  <c r="N69"/>
  <c r="K69"/>
  <c r="H69"/>
  <c r="W68"/>
  <c r="U68"/>
  <c r="R68"/>
  <c r="P68"/>
  <c r="N68"/>
  <c r="K68"/>
  <c r="H68"/>
  <c r="W67"/>
  <c r="U67"/>
  <c r="R67"/>
  <c r="P67"/>
  <c r="N67"/>
  <c r="K67"/>
  <c r="H67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K57"/>
  <c r="H57"/>
  <c r="E57"/>
  <c r="W56"/>
  <c r="U56"/>
  <c r="R56"/>
  <c r="P56"/>
  <c r="N56"/>
  <c r="K56"/>
  <c r="H56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D100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H48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U42"/>
  <c r="R42"/>
  <c r="P42"/>
  <c r="N42"/>
  <c r="K42"/>
  <c r="H42"/>
  <c r="U41"/>
  <c r="R41"/>
  <c r="P41"/>
  <c r="N41"/>
  <c r="K41"/>
  <c r="H4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D38" s="1"/>
  <c r="E38"/>
  <c r="W37"/>
  <c r="U37"/>
  <c r="R37"/>
  <c r="P37"/>
  <c r="N37"/>
  <c r="K37"/>
  <c r="H37"/>
  <c r="E37"/>
  <c r="W36"/>
  <c r="U36"/>
  <c r="R36"/>
  <c r="P36"/>
  <c r="N36"/>
  <c r="K36"/>
  <c r="H36"/>
  <c r="D36" s="1"/>
  <c r="E36"/>
  <c r="W35"/>
  <c r="U35"/>
  <c r="R35"/>
  <c r="P35"/>
  <c r="N35"/>
  <c r="K35"/>
  <c r="H35"/>
  <c r="E35"/>
  <c r="W34"/>
  <c r="U34"/>
  <c r="R34"/>
  <c r="P34"/>
  <c r="K34"/>
  <c r="H34"/>
  <c r="E34"/>
  <c r="W33"/>
  <c r="U33"/>
  <c r="R33"/>
  <c r="P33"/>
  <c r="H33"/>
  <c r="E33"/>
  <c r="W32"/>
  <c r="U32"/>
  <c r="R32"/>
  <c r="P32"/>
  <c r="N32"/>
  <c r="K32"/>
  <c r="H32"/>
  <c r="W31"/>
  <c r="U31"/>
  <c r="R31"/>
  <c r="P31"/>
  <c r="N31"/>
  <c r="K31"/>
  <c r="H31"/>
  <c r="D31" s="1"/>
  <c r="W30"/>
  <c r="U30"/>
  <c r="R30"/>
  <c r="P30"/>
  <c r="N30"/>
  <c r="K30"/>
  <c r="H30"/>
  <c r="W29"/>
  <c r="U29"/>
  <c r="R29"/>
  <c r="P29"/>
  <c r="N29"/>
  <c r="K29"/>
  <c r="H29"/>
  <c r="D29" s="1"/>
  <c r="W28"/>
  <c r="U28"/>
  <c r="R28"/>
  <c r="P28"/>
  <c r="N28"/>
  <c r="K28"/>
  <c r="H28"/>
  <c r="W27"/>
  <c r="U27"/>
  <c r="R27"/>
  <c r="P27"/>
  <c r="N27"/>
  <c r="K27"/>
  <c r="H27"/>
  <c r="D27" s="1"/>
  <c r="W26"/>
  <c r="U26"/>
  <c r="R26"/>
  <c r="P26"/>
  <c r="N26"/>
  <c r="K26"/>
  <c r="H26"/>
  <c r="W25"/>
  <c r="U25"/>
  <c r="R25"/>
  <c r="P25"/>
  <c r="N25"/>
  <c r="K25"/>
  <c r="H25"/>
  <c r="D25" s="1"/>
  <c r="W24"/>
  <c r="U24"/>
  <c r="R24"/>
  <c r="P24"/>
  <c r="N24"/>
  <c r="K24"/>
  <c r="H24"/>
  <c r="W23"/>
  <c r="U23"/>
  <c r="R23"/>
  <c r="P23"/>
  <c r="N23"/>
  <c r="M23"/>
  <c r="L23"/>
  <c r="K23" s="1"/>
  <c r="J23"/>
  <c r="I23"/>
  <c r="H23" s="1"/>
  <c r="W22"/>
  <c r="U22"/>
  <c r="R22"/>
  <c r="P22"/>
  <c r="N22"/>
  <c r="K22"/>
  <c r="H22"/>
  <c r="W21"/>
  <c r="U21"/>
  <c r="R21"/>
  <c r="P21"/>
  <c r="N21"/>
  <c r="K21"/>
  <c r="H21"/>
  <c r="D21" s="1"/>
  <c r="W20"/>
  <c r="U20"/>
  <c r="R20"/>
  <c r="P20"/>
  <c r="P16" s="1"/>
  <c r="N20"/>
  <c r="H20"/>
  <c r="E20"/>
  <c r="D20"/>
  <c r="W19"/>
  <c r="U19"/>
  <c r="U15" s="1"/>
  <c r="R19"/>
  <c r="P19"/>
  <c r="N19"/>
  <c r="H19"/>
  <c r="D19" s="1"/>
  <c r="E19"/>
  <c r="W18"/>
  <c r="U18"/>
  <c r="R18"/>
  <c r="P18"/>
  <c r="N18"/>
  <c r="N16" s="1"/>
  <c r="K18"/>
  <c r="H18"/>
  <c r="E18"/>
  <c r="W17"/>
  <c r="W15" s="1"/>
  <c r="U17"/>
  <c r="R17"/>
  <c r="P17"/>
  <c r="N17"/>
  <c r="N15" s="1"/>
  <c r="K17"/>
  <c r="H17"/>
  <c r="E17"/>
  <c r="E15" s="1"/>
  <c r="X16"/>
  <c r="V16"/>
  <c r="T16"/>
  <c r="S16"/>
  <c r="R16"/>
  <c r="Q16"/>
  <c r="O16"/>
  <c r="M16"/>
  <c r="M13" s="1"/>
  <c r="L16"/>
  <c r="J16"/>
  <c r="J13" s="1"/>
  <c r="I16"/>
  <c r="G16"/>
  <c r="F16"/>
  <c r="E16"/>
  <c r="X15"/>
  <c r="V15"/>
  <c r="T15"/>
  <c r="S15"/>
  <c r="R15"/>
  <c r="Q15"/>
  <c r="O15"/>
  <c r="M15"/>
  <c r="L15"/>
  <c r="J15"/>
  <c r="I15"/>
  <c r="G15"/>
  <c r="F15"/>
  <c r="K14"/>
  <c r="H14"/>
  <c r="G13"/>
  <c r="F13"/>
  <c r="I97" i="24"/>
  <c r="K35"/>
  <c r="K36"/>
  <c r="K56"/>
  <c r="K57"/>
  <c r="K58"/>
  <c r="I82"/>
  <c r="I80"/>
  <c r="I78"/>
  <c r="I76"/>
  <c r="K37"/>
  <c r="D100"/>
  <c r="J82"/>
  <c r="J80"/>
  <c r="J78"/>
  <c r="J76"/>
  <c r="I71"/>
  <c r="I70" s="1"/>
  <c r="I67"/>
  <c r="I48"/>
  <c r="I41"/>
  <c r="K19"/>
  <c r="K20"/>
  <c r="H68" i="36" l="1"/>
  <c r="G68" s="1"/>
  <c r="E68" s="1"/>
  <c r="F68" s="1"/>
  <c r="H68" i="42"/>
  <c r="G68" s="1"/>
  <c r="E68" s="1"/>
  <c r="F68" s="1"/>
  <c r="Q98" i="25"/>
  <c r="R73"/>
  <c r="D111"/>
  <c r="D144"/>
  <c r="D150"/>
  <c r="D152"/>
  <c r="D154"/>
  <c r="D156"/>
  <c r="K34" i="41"/>
  <c r="D34" s="1"/>
  <c r="L13"/>
  <c r="K13" s="1"/>
  <c r="U73" i="25"/>
  <c r="E74"/>
  <c r="E72" s="1"/>
  <c r="U74"/>
  <c r="U72" s="1"/>
  <c r="D75"/>
  <c r="D59"/>
  <c r="H94"/>
  <c r="D131"/>
  <c r="D133"/>
  <c r="D135"/>
  <c r="D40"/>
  <c r="D42"/>
  <c r="D47"/>
  <c r="D48"/>
  <c r="D61"/>
  <c r="D63"/>
  <c r="D65"/>
  <c r="D67"/>
  <c r="D69"/>
  <c r="D89"/>
  <c r="R87"/>
  <c r="D92"/>
  <c r="D96"/>
  <c r="D127"/>
  <c r="E139"/>
  <c r="R139"/>
  <c r="D151"/>
  <c r="D153"/>
  <c r="D155"/>
  <c r="N73"/>
  <c r="R74"/>
  <c r="R72" s="1"/>
  <c r="D103"/>
  <c r="D105"/>
  <c r="D119"/>
  <c r="D134"/>
  <c r="D107"/>
  <c r="D109"/>
  <c r="D110"/>
  <c r="D121"/>
  <c r="R140"/>
  <c r="D17"/>
  <c r="D18"/>
  <c r="U16"/>
  <c r="D22"/>
  <c r="D24"/>
  <c r="D28"/>
  <c r="D32"/>
  <c r="U94"/>
  <c r="D115"/>
  <c r="D117"/>
  <c r="D118"/>
  <c r="H128"/>
  <c r="N139"/>
  <c r="W139"/>
  <c r="D143"/>
  <c r="D123"/>
  <c r="D125"/>
  <c r="D126"/>
  <c r="D129"/>
  <c r="P15"/>
  <c r="D35"/>
  <c r="D44"/>
  <c r="D45"/>
  <c r="D49"/>
  <c r="D50"/>
  <c r="D53"/>
  <c r="D54"/>
  <c r="D55"/>
  <c r="D57"/>
  <c r="D60"/>
  <c r="D64"/>
  <c r="D68"/>
  <c r="H73"/>
  <c r="N74"/>
  <c r="N72" s="1"/>
  <c r="W74"/>
  <c r="W72" s="1"/>
  <c r="P73"/>
  <c r="K87"/>
  <c r="N87"/>
  <c r="W87"/>
  <c r="E87"/>
  <c r="P87"/>
  <c r="E94"/>
  <c r="P94"/>
  <c r="N94"/>
  <c r="W94"/>
  <c r="D102"/>
  <c r="D113"/>
  <c r="K128"/>
  <c r="D137"/>
  <c r="D145"/>
  <c r="D146"/>
  <c r="D149"/>
  <c r="L33" i="33"/>
  <c r="H35" i="36" s="1"/>
  <c r="G35" s="1"/>
  <c r="E35" s="1"/>
  <c r="F35" s="1"/>
  <c r="K33" i="27"/>
  <c r="D33" s="1"/>
  <c r="K16" i="25"/>
  <c r="W16"/>
  <c r="D37"/>
  <c r="D56"/>
  <c r="R98"/>
  <c r="D112"/>
  <c r="D120"/>
  <c r="D136"/>
  <c r="K33"/>
  <c r="D33" s="1"/>
  <c r="D39"/>
  <c r="D58"/>
  <c r="D71"/>
  <c r="P74"/>
  <c r="P72" s="1"/>
  <c r="P98" s="1"/>
  <c r="U87"/>
  <c r="V98"/>
  <c r="D95"/>
  <c r="D106"/>
  <c r="D114"/>
  <c r="D122"/>
  <c r="D130"/>
  <c r="D138"/>
  <c r="D141"/>
  <c r="D142"/>
  <c r="P140"/>
  <c r="H87" i="33"/>
  <c r="H89" i="3"/>
  <c r="G89" s="1"/>
  <c r="K87" i="33"/>
  <c r="F98" i="25"/>
  <c r="W73"/>
  <c r="T98"/>
  <c r="D104"/>
  <c r="E128"/>
  <c r="L34" i="33"/>
  <c r="H36" i="36" s="1"/>
  <c r="G36" s="1"/>
  <c r="E36" s="1"/>
  <c r="F36" s="1"/>
  <c r="K34" i="27"/>
  <c r="D34" s="1"/>
  <c r="H68" i="3"/>
  <c r="G68" s="1"/>
  <c r="H66" i="33"/>
  <c r="D66" s="1"/>
  <c r="K15" i="25"/>
  <c r="H16"/>
  <c r="D16" s="1"/>
  <c r="D26"/>
  <c r="D30"/>
  <c r="E13"/>
  <c r="D41"/>
  <c r="D43"/>
  <c r="D62"/>
  <c r="D66"/>
  <c r="D70"/>
  <c r="G98"/>
  <c r="S98"/>
  <c r="H87"/>
  <c r="D87" s="1"/>
  <c r="X98"/>
  <c r="D108"/>
  <c r="D116"/>
  <c r="D124"/>
  <c r="R128"/>
  <c r="D132"/>
  <c r="D14"/>
  <c r="M98"/>
  <c r="L13"/>
  <c r="K13" s="1"/>
  <c r="D77"/>
  <c r="D78"/>
  <c r="D52"/>
  <c r="D90"/>
  <c r="D88"/>
  <c r="D83"/>
  <c r="D76"/>
  <c r="D91"/>
  <c r="D85"/>
  <c r="D82"/>
  <c r="D81"/>
  <c r="D79"/>
  <c r="D34"/>
  <c r="D84"/>
  <c r="K73"/>
  <c r="D73" s="1"/>
  <c r="H72"/>
  <c r="H74"/>
  <c r="D46"/>
  <c r="H15"/>
  <c r="J98"/>
  <c r="U98"/>
  <c r="D23"/>
  <c r="D80"/>
  <c r="D86"/>
  <c r="I13"/>
  <c r="H13" s="1"/>
  <c r="D13" s="1"/>
  <c r="H51"/>
  <c r="D51" s="1"/>
  <c r="L74"/>
  <c r="H93"/>
  <c r="D93" s="1"/>
  <c r="K94"/>
  <c r="D94" s="1"/>
  <c r="H97"/>
  <c r="J23" i="24"/>
  <c r="W156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W144"/>
  <c r="U144"/>
  <c r="R144"/>
  <c r="P144"/>
  <c r="N144"/>
  <c r="K144"/>
  <c r="E144"/>
  <c r="W143"/>
  <c r="U143"/>
  <c r="R143"/>
  <c r="P143"/>
  <c r="N143"/>
  <c r="K143"/>
  <c r="E143"/>
  <c r="W142"/>
  <c r="W140" s="1"/>
  <c r="U142"/>
  <c r="U140" s="1"/>
  <c r="R142"/>
  <c r="P142"/>
  <c r="P140" s="1"/>
  <c r="N142"/>
  <c r="N140" s="1"/>
  <c r="K142"/>
  <c r="E142"/>
  <c r="W141"/>
  <c r="W139" s="1"/>
  <c r="U141"/>
  <c r="U139" s="1"/>
  <c r="R141"/>
  <c r="P141"/>
  <c r="N141"/>
  <c r="K141"/>
  <c r="E141"/>
  <c r="X140"/>
  <c r="V140"/>
  <c r="T140"/>
  <c r="S140"/>
  <c r="Q140"/>
  <c r="O140"/>
  <c r="M140"/>
  <c r="L140"/>
  <c r="K140"/>
  <c r="D140" s="1"/>
  <c r="J140"/>
  <c r="G140"/>
  <c r="F140"/>
  <c r="X139"/>
  <c r="V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D137" s="1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E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K97"/>
  <c r="E97"/>
  <c r="W96"/>
  <c r="U96"/>
  <c r="R96"/>
  <c r="P96"/>
  <c r="N96"/>
  <c r="K96"/>
  <c r="H96"/>
  <c r="E96"/>
  <c r="W95"/>
  <c r="U95"/>
  <c r="U94" s="1"/>
  <c r="R95"/>
  <c r="R94" s="1"/>
  <c r="P95"/>
  <c r="N95"/>
  <c r="N94" s="1"/>
  <c r="K95"/>
  <c r="H95"/>
  <c r="E95"/>
  <c r="X94"/>
  <c r="V94"/>
  <c r="T94"/>
  <c r="S94"/>
  <c r="Q94"/>
  <c r="P94"/>
  <c r="O94"/>
  <c r="M94"/>
  <c r="L94"/>
  <c r="J94"/>
  <c r="I94"/>
  <c r="H94" s="1"/>
  <c r="G94"/>
  <c r="F94"/>
  <c r="W93"/>
  <c r="U93"/>
  <c r="R93"/>
  <c r="P93"/>
  <c r="N93"/>
  <c r="K93"/>
  <c r="E93"/>
  <c r="W92"/>
  <c r="U92"/>
  <c r="R92"/>
  <c r="P92"/>
  <c r="N92"/>
  <c r="K92"/>
  <c r="H92"/>
  <c r="D92" s="1"/>
  <c r="E92"/>
  <c r="W91"/>
  <c r="U91"/>
  <c r="R91"/>
  <c r="P91"/>
  <c r="N91"/>
  <c r="K91"/>
  <c r="H91"/>
  <c r="E91"/>
  <c r="W90"/>
  <c r="U90"/>
  <c r="R90"/>
  <c r="P90"/>
  <c r="N90"/>
  <c r="K90"/>
  <c r="H90"/>
  <c r="D90" s="1"/>
  <c r="W89"/>
  <c r="U89"/>
  <c r="R89"/>
  <c r="P89"/>
  <c r="P87" s="1"/>
  <c r="N89"/>
  <c r="K89"/>
  <c r="H89"/>
  <c r="E89"/>
  <c r="W88"/>
  <c r="U88"/>
  <c r="R88"/>
  <c r="P88"/>
  <c r="N88"/>
  <c r="K88"/>
  <c r="H88"/>
  <c r="E88"/>
  <c r="X87"/>
  <c r="V87"/>
  <c r="T87"/>
  <c r="S87"/>
  <c r="Q87"/>
  <c r="O87"/>
  <c r="M87"/>
  <c r="L87"/>
  <c r="J87"/>
  <c r="I87"/>
  <c r="G87"/>
  <c r="F87"/>
  <c r="W86"/>
  <c r="U86"/>
  <c r="R86"/>
  <c r="P86"/>
  <c r="N86"/>
  <c r="K86"/>
  <c r="H86"/>
  <c r="E86"/>
  <c r="W85"/>
  <c r="U85"/>
  <c r="R85"/>
  <c r="P85"/>
  <c r="N85"/>
  <c r="K85"/>
  <c r="H85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H82"/>
  <c r="E82"/>
  <c r="W81"/>
  <c r="U81"/>
  <c r="R81"/>
  <c r="P81"/>
  <c r="N81"/>
  <c r="K81"/>
  <c r="H81"/>
  <c r="E81"/>
  <c r="W80"/>
  <c r="U80"/>
  <c r="R80"/>
  <c r="P80"/>
  <c r="N80"/>
  <c r="K80"/>
  <c r="H80"/>
  <c r="E80"/>
  <c r="W79"/>
  <c r="U79"/>
  <c r="R79"/>
  <c r="P79"/>
  <c r="N79"/>
  <c r="K79"/>
  <c r="H79"/>
  <c r="E79"/>
  <c r="W78"/>
  <c r="U78"/>
  <c r="R78"/>
  <c r="P78"/>
  <c r="N78"/>
  <c r="K78"/>
  <c r="H78"/>
  <c r="E78"/>
  <c r="W77"/>
  <c r="U77"/>
  <c r="R77"/>
  <c r="P77"/>
  <c r="N77"/>
  <c r="K77"/>
  <c r="H77"/>
  <c r="E77"/>
  <c r="W76"/>
  <c r="U76"/>
  <c r="U74" s="1"/>
  <c r="U72" s="1"/>
  <c r="R76"/>
  <c r="P76"/>
  <c r="N76"/>
  <c r="K76"/>
  <c r="H76"/>
  <c r="E76"/>
  <c r="W75"/>
  <c r="U75"/>
  <c r="U73" s="1"/>
  <c r="R75"/>
  <c r="P75"/>
  <c r="N75"/>
  <c r="K75"/>
  <c r="H75"/>
  <c r="E75"/>
  <c r="X74"/>
  <c r="W74"/>
  <c r="W72" s="1"/>
  <c r="V74"/>
  <c r="T74"/>
  <c r="T72" s="1"/>
  <c r="S74"/>
  <c r="S72" s="1"/>
  <c r="Q74"/>
  <c r="Q72" s="1"/>
  <c r="O74"/>
  <c r="O72" s="1"/>
  <c r="M74"/>
  <c r="L74"/>
  <c r="J74"/>
  <c r="I74"/>
  <c r="G74"/>
  <c r="F74"/>
  <c r="X73"/>
  <c r="V73"/>
  <c r="T73"/>
  <c r="S73"/>
  <c r="Q73"/>
  <c r="O73"/>
  <c r="N73"/>
  <c r="M73"/>
  <c r="L73"/>
  <c r="J73"/>
  <c r="I73"/>
  <c r="G73"/>
  <c r="F73"/>
  <c r="X72"/>
  <c r="V72"/>
  <c r="M72"/>
  <c r="L72"/>
  <c r="J72"/>
  <c r="I72"/>
  <c r="G72"/>
  <c r="F72"/>
  <c r="W71"/>
  <c r="U71"/>
  <c r="R71"/>
  <c r="P71"/>
  <c r="N71"/>
  <c r="K71"/>
  <c r="H71"/>
  <c r="D71" s="1"/>
  <c r="W70"/>
  <c r="U70"/>
  <c r="R70"/>
  <c r="P70"/>
  <c r="N70"/>
  <c r="K70"/>
  <c r="H70"/>
  <c r="W69"/>
  <c r="U69"/>
  <c r="R69"/>
  <c r="P69"/>
  <c r="N69"/>
  <c r="K69"/>
  <c r="H69"/>
  <c r="W68"/>
  <c r="U68"/>
  <c r="R68"/>
  <c r="P68"/>
  <c r="N68"/>
  <c r="K68"/>
  <c r="H68"/>
  <c r="W67"/>
  <c r="U67"/>
  <c r="R67"/>
  <c r="P67"/>
  <c r="N67"/>
  <c r="K67"/>
  <c r="H67"/>
  <c r="D67" s="1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D63" s="1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D59" s="1"/>
  <c r="E59"/>
  <c r="W58"/>
  <c r="U58"/>
  <c r="R58"/>
  <c r="P58"/>
  <c r="N58"/>
  <c r="H58"/>
  <c r="D58" s="1"/>
  <c r="E58"/>
  <c r="W57"/>
  <c r="U57"/>
  <c r="R57"/>
  <c r="P57"/>
  <c r="N57"/>
  <c r="H57"/>
  <c r="D57" s="1"/>
  <c r="E57"/>
  <c r="W56"/>
  <c r="U56"/>
  <c r="R56"/>
  <c r="P56"/>
  <c r="N56"/>
  <c r="H56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E51"/>
  <c r="W50"/>
  <c r="U50"/>
  <c r="R50"/>
  <c r="P50"/>
  <c r="N50"/>
  <c r="K50"/>
  <c r="H50"/>
  <c r="D50" s="1"/>
  <c r="E50"/>
  <c r="W49"/>
  <c r="U49"/>
  <c r="R49"/>
  <c r="P49"/>
  <c r="N49"/>
  <c r="K49"/>
  <c r="H49"/>
  <c r="D49" s="1"/>
  <c r="E49"/>
  <c r="W48"/>
  <c r="U48"/>
  <c r="R48"/>
  <c r="P48"/>
  <c r="N48"/>
  <c r="K48"/>
  <c r="H48"/>
  <c r="E48"/>
  <c r="W47"/>
  <c r="U47"/>
  <c r="R47"/>
  <c r="P47"/>
  <c r="N47"/>
  <c r="K47"/>
  <c r="H47"/>
  <c r="D47" s="1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U42"/>
  <c r="R42"/>
  <c r="P42"/>
  <c r="N42"/>
  <c r="K42"/>
  <c r="H42"/>
  <c r="U41"/>
  <c r="R41"/>
  <c r="P41"/>
  <c r="N41"/>
  <c r="K41"/>
  <c r="H4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H37"/>
  <c r="E37"/>
  <c r="W36"/>
  <c r="U36"/>
  <c r="R36"/>
  <c r="P36"/>
  <c r="N36"/>
  <c r="H36"/>
  <c r="D36" s="1"/>
  <c r="E36"/>
  <c r="W35"/>
  <c r="U35"/>
  <c r="R35"/>
  <c r="P35"/>
  <c r="N35"/>
  <c r="H35"/>
  <c r="D35" s="1"/>
  <c r="E35"/>
  <c r="W34"/>
  <c r="U34"/>
  <c r="R34"/>
  <c r="P34"/>
  <c r="K34"/>
  <c r="H34"/>
  <c r="E34"/>
  <c r="W33"/>
  <c r="U33"/>
  <c r="R33"/>
  <c r="P33"/>
  <c r="K33"/>
  <c r="H33"/>
  <c r="E33"/>
  <c r="W32"/>
  <c r="U32"/>
  <c r="R32"/>
  <c r="P32"/>
  <c r="N32"/>
  <c r="K32"/>
  <c r="W31"/>
  <c r="U31"/>
  <c r="R31"/>
  <c r="P31"/>
  <c r="N31"/>
  <c r="K31"/>
  <c r="H3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I23"/>
  <c r="W22"/>
  <c r="U22"/>
  <c r="R22"/>
  <c r="P22"/>
  <c r="N22"/>
  <c r="K22"/>
  <c r="H22"/>
  <c r="W21"/>
  <c r="U21"/>
  <c r="R21"/>
  <c r="P21"/>
  <c r="N21"/>
  <c r="K21"/>
  <c r="H21"/>
  <c r="D21" s="1"/>
  <c r="W20"/>
  <c r="U20"/>
  <c r="R20"/>
  <c r="P20"/>
  <c r="N20"/>
  <c r="H20"/>
  <c r="E20"/>
  <c r="D20"/>
  <c r="W19"/>
  <c r="U19"/>
  <c r="R19"/>
  <c r="P19"/>
  <c r="N19"/>
  <c r="H19"/>
  <c r="E19"/>
  <c r="D19"/>
  <c r="W18"/>
  <c r="W16" s="1"/>
  <c r="U18"/>
  <c r="U16" s="1"/>
  <c r="R18"/>
  <c r="P18"/>
  <c r="P16" s="1"/>
  <c r="N18"/>
  <c r="N16" s="1"/>
  <c r="K18"/>
  <c r="H18"/>
  <c r="E18"/>
  <c r="E16" s="1"/>
  <c r="E13" s="1"/>
  <c r="W17"/>
  <c r="U17"/>
  <c r="U15" s="1"/>
  <c r="R17"/>
  <c r="P17"/>
  <c r="P15" s="1"/>
  <c r="N17"/>
  <c r="K17"/>
  <c r="H17"/>
  <c r="E17"/>
  <c r="E15" s="1"/>
  <c r="X16"/>
  <c r="V16"/>
  <c r="T16"/>
  <c r="S16"/>
  <c r="R16"/>
  <c r="Q16"/>
  <c r="O16"/>
  <c r="M16"/>
  <c r="L16"/>
  <c r="K16" s="1"/>
  <c r="J16"/>
  <c r="I16"/>
  <c r="G16"/>
  <c r="F16"/>
  <c r="F13" s="1"/>
  <c r="X15"/>
  <c r="V15"/>
  <c r="T15"/>
  <c r="S15"/>
  <c r="R15"/>
  <c r="Q15"/>
  <c r="O15"/>
  <c r="M15"/>
  <c r="L15"/>
  <c r="J15"/>
  <c r="I15"/>
  <c r="G15"/>
  <c r="F15"/>
  <c r="K14"/>
  <c r="H14"/>
  <c r="G13"/>
  <c r="I51" i="23"/>
  <c r="I51" i="27" s="1"/>
  <c r="I50" i="23"/>
  <c r="I50" i="27" s="1"/>
  <c r="H50" i="41" s="1"/>
  <c r="D50" s="1"/>
  <c r="J42" i="23"/>
  <c r="J42" i="27" s="1"/>
  <c r="I83" i="23"/>
  <c r="I83" i="27" s="1"/>
  <c r="H83" i="41" s="1"/>
  <c r="I84" i="23"/>
  <c r="I84" i="27" s="1"/>
  <c r="H84" i="41" s="1"/>
  <c r="J42" i="33" l="1"/>
  <c r="I44" i="42" s="1"/>
  <c r="G44" s="1"/>
  <c r="E44" s="1"/>
  <c r="F44" s="1"/>
  <c r="J42" i="41"/>
  <c r="D100"/>
  <c r="H51"/>
  <c r="D51" s="1"/>
  <c r="D79" i="24"/>
  <c r="D80"/>
  <c r="N87"/>
  <c r="W87"/>
  <c r="K128"/>
  <c r="D129"/>
  <c r="D133"/>
  <c r="D135"/>
  <c r="D136"/>
  <c r="D18"/>
  <c r="D26"/>
  <c r="D30"/>
  <c r="I44" i="3"/>
  <c r="I44" i="36"/>
  <c r="D17" i="24"/>
  <c r="K74"/>
  <c r="D83"/>
  <c r="N15"/>
  <c r="W15"/>
  <c r="D22"/>
  <c r="K23"/>
  <c r="D27"/>
  <c r="D31"/>
  <c r="D40"/>
  <c r="D52"/>
  <c r="D53"/>
  <c r="D54"/>
  <c r="D55"/>
  <c r="K72"/>
  <c r="D72" s="1"/>
  <c r="E140"/>
  <c r="D146"/>
  <c r="D152"/>
  <c r="D156"/>
  <c r="D87" i="33"/>
  <c r="W98" i="25"/>
  <c r="I13" i="24"/>
  <c r="M13"/>
  <c r="M98" s="1"/>
  <c r="R73"/>
  <c r="D105"/>
  <c r="D107"/>
  <c r="D113"/>
  <c r="D121"/>
  <c r="D125"/>
  <c r="D127"/>
  <c r="R128"/>
  <c r="E98" i="25"/>
  <c r="N98"/>
  <c r="R140" i="24"/>
  <c r="D81"/>
  <c r="E87"/>
  <c r="D104"/>
  <c r="D115"/>
  <c r="D141"/>
  <c r="D145"/>
  <c r="E139"/>
  <c r="D151"/>
  <c r="D155"/>
  <c r="D25"/>
  <c r="D29"/>
  <c r="D41"/>
  <c r="D43"/>
  <c r="D62"/>
  <c r="D66"/>
  <c r="D70"/>
  <c r="K73"/>
  <c r="E73"/>
  <c r="P73"/>
  <c r="E74"/>
  <c r="E72" s="1"/>
  <c r="P74"/>
  <c r="P72" s="1"/>
  <c r="W73"/>
  <c r="N74"/>
  <c r="N72" s="1"/>
  <c r="N98" s="1"/>
  <c r="D89"/>
  <c r="R87"/>
  <c r="U87"/>
  <c r="D109"/>
  <c r="D111"/>
  <c r="D112"/>
  <c r="D123"/>
  <c r="D131"/>
  <c r="P139"/>
  <c r="D144"/>
  <c r="D150"/>
  <c r="D154"/>
  <c r="K139"/>
  <c r="D139" s="1"/>
  <c r="D103"/>
  <c r="H15"/>
  <c r="D65"/>
  <c r="D69"/>
  <c r="D75"/>
  <c r="R74"/>
  <c r="R72" s="1"/>
  <c r="D77"/>
  <c r="K87"/>
  <c r="D96"/>
  <c r="D117"/>
  <c r="D119"/>
  <c r="D120"/>
  <c r="D143"/>
  <c r="D149"/>
  <c r="R139"/>
  <c r="D153"/>
  <c r="I50" i="33"/>
  <c r="H52" i="36" s="1"/>
  <c r="G52" s="1"/>
  <c r="E52" s="1"/>
  <c r="F52" s="1"/>
  <c r="H50" i="27"/>
  <c r="D50" s="1"/>
  <c r="R98" i="24"/>
  <c r="K34" i="33"/>
  <c r="D34" s="1"/>
  <c r="L13"/>
  <c r="K13" s="1"/>
  <c r="H36" i="3"/>
  <c r="G36" s="1"/>
  <c r="G98" i="24"/>
  <c r="V98"/>
  <c r="D122"/>
  <c r="D138"/>
  <c r="I83" i="33"/>
  <c r="H83" i="27"/>
  <c r="L13" i="24"/>
  <c r="K13" s="1"/>
  <c r="D42"/>
  <c r="D61"/>
  <c r="H87"/>
  <c r="X98"/>
  <c r="D108"/>
  <c r="D116"/>
  <c r="D124"/>
  <c r="D132"/>
  <c r="K33" i="33"/>
  <c r="D33" s="1"/>
  <c r="H35" i="3"/>
  <c r="G35" s="1"/>
  <c r="T98" i="24"/>
  <c r="I84" i="33"/>
  <c r="H84" i="27"/>
  <c r="I51" i="33"/>
  <c r="H53" i="36" s="1"/>
  <c r="G53" s="1"/>
  <c r="E53" s="1"/>
  <c r="F53" s="1"/>
  <c r="D100" i="27"/>
  <c r="H51"/>
  <c r="D51" s="1"/>
  <c r="Q98" i="24"/>
  <c r="D106"/>
  <c r="D114"/>
  <c r="D130"/>
  <c r="N139"/>
  <c r="D142"/>
  <c r="D128" i="25"/>
  <c r="K15" i="24"/>
  <c r="D15" s="1"/>
  <c r="H16"/>
  <c r="D16" s="1"/>
  <c r="D24"/>
  <c r="D28"/>
  <c r="D44"/>
  <c r="D45"/>
  <c r="D60"/>
  <c r="D64"/>
  <c r="D68"/>
  <c r="O98"/>
  <c r="S98"/>
  <c r="F98"/>
  <c r="E94"/>
  <c r="W94"/>
  <c r="P98"/>
  <c r="D102"/>
  <c r="D110"/>
  <c r="D118"/>
  <c r="D126"/>
  <c r="H128"/>
  <c r="D134"/>
  <c r="D128" s="1"/>
  <c r="D15" i="25"/>
  <c r="L72"/>
  <c r="K74"/>
  <c r="D74" s="1"/>
  <c r="D97"/>
  <c r="I100"/>
  <c r="I98"/>
  <c r="H98" s="1"/>
  <c r="D38" i="24"/>
  <c r="D39"/>
  <c r="H74"/>
  <c r="D74" s="1"/>
  <c r="H73"/>
  <c r="D73" s="1"/>
  <c r="H72"/>
  <c r="D95"/>
  <c r="D91"/>
  <c r="D87"/>
  <c r="D88"/>
  <c r="D85"/>
  <c r="D82"/>
  <c r="D76"/>
  <c r="D48"/>
  <c r="D46"/>
  <c r="D34"/>
  <c r="D33"/>
  <c r="D37"/>
  <c r="D14"/>
  <c r="D56"/>
  <c r="D86"/>
  <c r="L98"/>
  <c r="I98"/>
  <c r="U98"/>
  <c r="W98"/>
  <c r="D78"/>
  <c r="D84"/>
  <c r="E98"/>
  <c r="H51"/>
  <c r="D51" s="1"/>
  <c r="H93"/>
  <c r="D93" s="1"/>
  <c r="K94"/>
  <c r="D94" s="1"/>
  <c r="H97"/>
  <c r="I80" i="23"/>
  <c r="I80" i="27" s="1"/>
  <c r="H80" i="41" s="1"/>
  <c r="I79" i="23"/>
  <c r="I79" i="27" s="1"/>
  <c r="H79" i="41" s="1"/>
  <c r="I78" i="23"/>
  <c r="I78" i="27" s="1"/>
  <c r="H78" i="41" s="1"/>
  <c r="I77" i="23"/>
  <c r="I77" i="27" s="1"/>
  <c r="H77" i="41" s="1"/>
  <c r="L78" i="23"/>
  <c r="L78" i="27" s="1"/>
  <c r="L77" i="23"/>
  <c r="L77" i="27" s="1"/>
  <c r="I82" i="23"/>
  <c r="I82" i="27" s="1"/>
  <c r="H82" i="41" s="1"/>
  <c r="D82" s="1"/>
  <c r="I81" i="23"/>
  <c r="I81" i="27" s="1"/>
  <c r="H81" i="41" s="1"/>
  <c r="D81" s="1"/>
  <c r="I97" i="23"/>
  <c r="I97" i="27" s="1"/>
  <c r="I86" i="23"/>
  <c r="I86" i="27" s="1"/>
  <c r="H86" i="41" s="1"/>
  <c r="I85" i="23"/>
  <c r="I85" i="27" s="1"/>
  <c r="H85" i="41" s="1"/>
  <c r="L84" i="23"/>
  <c r="L84" i="27" s="1"/>
  <c r="K84" i="41" s="1"/>
  <c r="D84" s="1"/>
  <c r="L83" i="23"/>
  <c r="L83" i="27" s="1"/>
  <c r="K83" i="41" s="1"/>
  <c r="D83" s="1"/>
  <c r="L80" i="23"/>
  <c r="L80" i="27" s="1"/>
  <c r="K80" i="41" s="1"/>
  <c r="L79" i="23"/>
  <c r="L79" i="27" s="1"/>
  <c r="K79" i="41" s="1"/>
  <c r="L86" i="23"/>
  <c r="L86" i="27" s="1"/>
  <c r="K86" i="41" s="1"/>
  <c r="L85" i="23"/>
  <c r="L85" i="27" s="1"/>
  <c r="K85" i="41" s="1"/>
  <c r="I76" i="23"/>
  <c r="I76" i="27" s="1"/>
  <c r="I75" i="23"/>
  <c r="I75" i="27" s="1"/>
  <c r="I53" i="23"/>
  <c r="I53" i="27" s="1"/>
  <c r="H53" i="41" s="1"/>
  <c r="D53" s="1"/>
  <c r="I52" i="23"/>
  <c r="I52" i="27" s="1"/>
  <c r="H52" i="41" s="1"/>
  <c r="D52" s="1"/>
  <c r="I55" i="23"/>
  <c r="I55" i="27" s="1"/>
  <c r="H55" i="41" s="1"/>
  <c r="D55" s="1"/>
  <c r="I54" i="23"/>
  <c r="I54" i="27" s="1"/>
  <c r="H54" i="41" s="1"/>
  <c r="D54" s="1"/>
  <c r="I43" i="23"/>
  <c r="I43" i="27" s="1"/>
  <c r="I42" i="23"/>
  <c r="I42" i="27" s="1"/>
  <c r="I45" i="23"/>
  <c r="I45" i="27" s="1"/>
  <c r="H45" i="41" s="1"/>
  <c r="D45" s="1"/>
  <c r="I44" i="23"/>
  <c r="I44" i="27" s="1"/>
  <c r="H44" i="41" s="1"/>
  <c r="D44" s="1"/>
  <c r="D79" l="1"/>
  <c r="H43"/>
  <c r="D43" s="1"/>
  <c r="I13"/>
  <c r="H13" s="1"/>
  <c r="D13" s="1"/>
  <c r="H76"/>
  <c r="D76" s="1"/>
  <c r="I74"/>
  <c r="D86"/>
  <c r="K77"/>
  <c r="L73"/>
  <c r="K73" s="1"/>
  <c r="D77"/>
  <c r="H42"/>
  <c r="D42" s="1"/>
  <c r="H75"/>
  <c r="D75" s="1"/>
  <c r="I73"/>
  <c r="H73" s="1"/>
  <c r="D73" s="1"/>
  <c r="D85"/>
  <c r="H97"/>
  <c r="K78"/>
  <c r="L74"/>
  <c r="D78"/>
  <c r="D80"/>
  <c r="K98" i="24"/>
  <c r="M100" s="1"/>
  <c r="I43" i="33"/>
  <c r="H45" i="36" s="1"/>
  <c r="G45" s="1"/>
  <c r="E45" s="1"/>
  <c r="F45" s="1"/>
  <c r="H43" i="27"/>
  <c r="D43" s="1"/>
  <c r="L86" i="33"/>
  <c r="K86" s="1"/>
  <c r="K86" i="27"/>
  <c r="I77" i="33"/>
  <c r="H77" i="27"/>
  <c r="D100" i="33"/>
  <c r="H53" i="3"/>
  <c r="G53" s="1"/>
  <c r="H51" i="33"/>
  <c r="D51" s="1"/>
  <c r="I54"/>
  <c r="H56" i="36" s="1"/>
  <c r="G56" s="1"/>
  <c r="E56" s="1"/>
  <c r="F56" s="1"/>
  <c r="H54" i="27"/>
  <c r="D54" s="1"/>
  <c r="I85" i="33"/>
  <c r="H85" i="27"/>
  <c r="I82" i="33"/>
  <c r="H84" i="36" s="1"/>
  <c r="G84" s="1"/>
  <c r="E84" s="1"/>
  <c r="F84" s="1"/>
  <c r="H82" i="27"/>
  <c r="D82" s="1"/>
  <c r="I45" i="33"/>
  <c r="H47" i="36" s="1"/>
  <c r="G47" s="1"/>
  <c r="E47" s="1"/>
  <c r="F47" s="1"/>
  <c r="H45" i="27"/>
  <c r="D45" s="1"/>
  <c r="I55" i="33"/>
  <c r="H57" i="36" s="1"/>
  <c r="G57" s="1"/>
  <c r="E57" s="1"/>
  <c r="F57" s="1"/>
  <c r="H55" i="27"/>
  <c r="D55" s="1"/>
  <c r="I76" i="33"/>
  <c r="H78" i="36" s="1"/>
  <c r="G78" s="1"/>
  <c r="E78" s="1"/>
  <c r="F78" s="1"/>
  <c r="H76" i="27"/>
  <c r="D76" s="1"/>
  <c r="I74"/>
  <c r="L80" i="33"/>
  <c r="K80" s="1"/>
  <c r="K80" i="27"/>
  <c r="H86"/>
  <c r="I86" i="33"/>
  <c r="H88" i="36" s="1"/>
  <c r="G88" s="1"/>
  <c r="E88" s="1"/>
  <c r="F88" s="1"/>
  <c r="L77" i="33"/>
  <c r="L73" i="27"/>
  <c r="K73" s="1"/>
  <c r="K77"/>
  <c r="I79" i="33"/>
  <c r="H79" i="27"/>
  <c r="H84" i="33"/>
  <c r="I53"/>
  <c r="H55" i="36" s="1"/>
  <c r="G55" s="1"/>
  <c r="E55" s="1"/>
  <c r="F55" s="1"/>
  <c r="H53" i="27"/>
  <c r="D53" s="1"/>
  <c r="L84" i="33"/>
  <c r="K84" s="1"/>
  <c r="K84" i="27"/>
  <c r="I81" i="33"/>
  <c r="H83" i="36" s="1"/>
  <c r="G83" s="1"/>
  <c r="E83" s="1"/>
  <c r="F83" s="1"/>
  <c r="H81" i="27"/>
  <c r="D81" s="1"/>
  <c r="I44" i="33"/>
  <c r="H46" i="36" s="1"/>
  <c r="G46" s="1"/>
  <c r="E46" s="1"/>
  <c r="F46" s="1"/>
  <c r="H44" i="27"/>
  <c r="D44" s="1"/>
  <c r="I75" i="33"/>
  <c r="H77" i="36" s="1"/>
  <c r="G77" s="1"/>
  <c r="E77" s="1"/>
  <c r="F77" s="1"/>
  <c r="H75" i="27"/>
  <c r="D75" s="1"/>
  <c r="I73"/>
  <c r="H73" s="1"/>
  <c r="L79" i="33"/>
  <c r="K79" s="1"/>
  <c r="K79" i="27"/>
  <c r="I78" i="33"/>
  <c r="H78" i="27"/>
  <c r="D84"/>
  <c r="H83" i="33"/>
  <c r="I42"/>
  <c r="H44" i="36" s="1"/>
  <c r="G44" s="1"/>
  <c r="E44" s="1"/>
  <c r="F44" s="1"/>
  <c r="H42" i="27"/>
  <c r="D42" s="1"/>
  <c r="I52" i="33"/>
  <c r="H54" i="36" s="1"/>
  <c r="G54" s="1"/>
  <c r="E54" s="1"/>
  <c r="F54" s="1"/>
  <c r="H52" i="27"/>
  <c r="D52" s="1"/>
  <c r="L85" i="33"/>
  <c r="K85" s="1"/>
  <c r="K85" i="27"/>
  <c r="L83" i="33"/>
  <c r="K83" s="1"/>
  <c r="K83" i="27"/>
  <c r="D83" s="1"/>
  <c r="I97" i="33"/>
  <c r="H99" i="36" s="1"/>
  <c r="G99" s="1"/>
  <c r="E99" s="1"/>
  <c r="F99" s="1"/>
  <c r="H97" i="27"/>
  <c r="L78" i="33"/>
  <c r="L74" i="27"/>
  <c r="K78"/>
  <c r="I80" i="33"/>
  <c r="H82" i="36" s="1"/>
  <c r="G82" s="1"/>
  <c r="E82" s="1"/>
  <c r="F82" s="1"/>
  <c r="H80" i="27"/>
  <c r="D80" s="1"/>
  <c r="H50" i="33"/>
  <c r="D50" s="1"/>
  <c r="H52" i="3"/>
  <c r="G52" s="1"/>
  <c r="K72" i="25"/>
  <c r="D72" s="1"/>
  <c r="L98"/>
  <c r="K98" s="1"/>
  <c r="M100" s="1"/>
  <c r="I100" i="24"/>
  <c r="D97"/>
  <c r="W156" i="23"/>
  <c r="U156"/>
  <c r="R156"/>
  <c r="P156"/>
  <c r="N156"/>
  <c r="K156"/>
  <c r="E156"/>
  <c r="W155"/>
  <c r="U155"/>
  <c r="R155"/>
  <c r="P155"/>
  <c r="N155"/>
  <c r="K155"/>
  <c r="E155"/>
  <c r="W154"/>
  <c r="U154"/>
  <c r="R154"/>
  <c r="P154"/>
  <c r="N154"/>
  <c r="K154"/>
  <c r="E154"/>
  <c r="W153"/>
  <c r="U153"/>
  <c r="R153"/>
  <c r="P153"/>
  <c r="N153"/>
  <c r="K153"/>
  <c r="E153"/>
  <c r="D153" s="1"/>
  <c r="W152"/>
  <c r="U152"/>
  <c r="R152"/>
  <c r="P152"/>
  <c r="N152"/>
  <c r="K152"/>
  <c r="E152"/>
  <c r="W151"/>
  <c r="U151"/>
  <c r="R151"/>
  <c r="P151"/>
  <c r="N151"/>
  <c r="K151"/>
  <c r="E151"/>
  <c r="W150"/>
  <c r="U150"/>
  <c r="R150"/>
  <c r="P150"/>
  <c r="N150"/>
  <c r="K150"/>
  <c r="E150"/>
  <c r="W149"/>
  <c r="U149"/>
  <c r="R149"/>
  <c r="P149"/>
  <c r="N149"/>
  <c r="K149"/>
  <c r="E149"/>
  <c r="D149" s="1"/>
  <c r="W148"/>
  <c r="U148"/>
  <c r="R148"/>
  <c r="P148"/>
  <c r="N148"/>
  <c r="K148"/>
  <c r="E148"/>
  <c r="W147"/>
  <c r="U147"/>
  <c r="R147"/>
  <c r="P147"/>
  <c r="N147"/>
  <c r="K147"/>
  <c r="E147"/>
  <c r="W146"/>
  <c r="U146"/>
  <c r="R146"/>
  <c r="P146"/>
  <c r="N146"/>
  <c r="K146"/>
  <c r="E146"/>
  <c r="W145"/>
  <c r="U145"/>
  <c r="R145"/>
  <c r="P145"/>
  <c r="N145"/>
  <c r="K145"/>
  <c r="E145"/>
  <c r="D145" s="1"/>
  <c r="W144"/>
  <c r="U144"/>
  <c r="R144"/>
  <c r="P144"/>
  <c r="N144"/>
  <c r="K144"/>
  <c r="E144"/>
  <c r="W143"/>
  <c r="U143"/>
  <c r="R143"/>
  <c r="P143"/>
  <c r="N143"/>
  <c r="K143"/>
  <c r="E143"/>
  <c r="W142"/>
  <c r="W140" s="1"/>
  <c r="U142"/>
  <c r="U140" s="1"/>
  <c r="R142"/>
  <c r="P142"/>
  <c r="N142"/>
  <c r="K142"/>
  <c r="K140" s="1"/>
  <c r="D140" s="1"/>
  <c r="E142"/>
  <c r="W141"/>
  <c r="U141"/>
  <c r="R141"/>
  <c r="P141"/>
  <c r="N141"/>
  <c r="K141"/>
  <c r="K139" s="1"/>
  <c r="D139" s="1"/>
  <c r="E141"/>
  <c r="D141" s="1"/>
  <c r="X140"/>
  <c r="V140"/>
  <c r="T140"/>
  <c r="S140"/>
  <c r="Q140"/>
  <c r="O140"/>
  <c r="N140"/>
  <c r="M140"/>
  <c r="L140"/>
  <c r="J140"/>
  <c r="G140"/>
  <c r="F140"/>
  <c r="X139"/>
  <c r="V139"/>
  <c r="U139"/>
  <c r="T139"/>
  <c r="S139"/>
  <c r="Q139"/>
  <c r="O139"/>
  <c r="M139"/>
  <c r="L139"/>
  <c r="J139"/>
  <c r="G139"/>
  <c r="F139"/>
  <c r="W138"/>
  <c r="U138"/>
  <c r="R138"/>
  <c r="P138"/>
  <c r="N138"/>
  <c r="K138"/>
  <c r="H138"/>
  <c r="E138"/>
  <c r="W137"/>
  <c r="U137"/>
  <c r="R137"/>
  <c r="P137"/>
  <c r="N137"/>
  <c r="K137"/>
  <c r="H137"/>
  <c r="E137"/>
  <c r="W136"/>
  <c r="U136"/>
  <c r="R136"/>
  <c r="P136"/>
  <c r="N136"/>
  <c r="K136"/>
  <c r="H136"/>
  <c r="E136"/>
  <c r="W135"/>
  <c r="U135"/>
  <c r="R135"/>
  <c r="P135"/>
  <c r="N135"/>
  <c r="K135"/>
  <c r="H135"/>
  <c r="E135"/>
  <c r="W134"/>
  <c r="U134"/>
  <c r="R134"/>
  <c r="P134"/>
  <c r="N134"/>
  <c r="K134"/>
  <c r="H134"/>
  <c r="E134"/>
  <c r="W133"/>
  <c r="U133"/>
  <c r="R133"/>
  <c r="P133"/>
  <c r="N133"/>
  <c r="K133"/>
  <c r="H133"/>
  <c r="E133"/>
  <c r="W132"/>
  <c r="U132"/>
  <c r="R132"/>
  <c r="P132"/>
  <c r="N132"/>
  <c r="K132"/>
  <c r="H132"/>
  <c r="E132"/>
  <c r="W131"/>
  <c r="U131"/>
  <c r="R131"/>
  <c r="P131"/>
  <c r="N131"/>
  <c r="K131"/>
  <c r="H131"/>
  <c r="E131"/>
  <c r="W130"/>
  <c r="U130"/>
  <c r="R130"/>
  <c r="P130"/>
  <c r="N130"/>
  <c r="K130"/>
  <c r="H130"/>
  <c r="E130"/>
  <c r="W129"/>
  <c r="U129"/>
  <c r="R129"/>
  <c r="P129"/>
  <c r="N129"/>
  <c r="K129"/>
  <c r="H129"/>
  <c r="E129"/>
  <c r="X128"/>
  <c r="W128" s="1"/>
  <c r="V128"/>
  <c r="U128" s="1"/>
  <c r="T128"/>
  <c r="S128"/>
  <c r="Q128"/>
  <c r="P128" s="1"/>
  <c r="O128"/>
  <c r="N128" s="1"/>
  <c r="M128"/>
  <c r="L128"/>
  <c r="J128"/>
  <c r="I128"/>
  <c r="G128"/>
  <c r="F128"/>
  <c r="W127"/>
  <c r="U127"/>
  <c r="R127"/>
  <c r="P127"/>
  <c r="N127"/>
  <c r="K127"/>
  <c r="H127"/>
  <c r="E127"/>
  <c r="W126"/>
  <c r="U126"/>
  <c r="R126"/>
  <c r="P126"/>
  <c r="N126"/>
  <c r="K126"/>
  <c r="H126"/>
  <c r="E126"/>
  <c r="W125"/>
  <c r="U125"/>
  <c r="R125"/>
  <c r="P125"/>
  <c r="N125"/>
  <c r="K125"/>
  <c r="H125"/>
  <c r="E125"/>
  <c r="W124"/>
  <c r="U124"/>
  <c r="R124"/>
  <c r="P124"/>
  <c r="N124"/>
  <c r="K124"/>
  <c r="H124"/>
  <c r="E124"/>
  <c r="W123"/>
  <c r="U123"/>
  <c r="R123"/>
  <c r="P123"/>
  <c r="N123"/>
  <c r="K123"/>
  <c r="H123"/>
  <c r="E123"/>
  <c r="W122"/>
  <c r="U122"/>
  <c r="R122"/>
  <c r="P122"/>
  <c r="N122"/>
  <c r="K122"/>
  <c r="H122"/>
  <c r="E122"/>
  <c r="W121"/>
  <c r="U121"/>
  <c r="R121"/>
  <c r="P121"/>
  <c r="N121"/>
  <c r="K121"/>
  <c r="H121"/>
  <c r="E121"/>
  <c r="W120"/>
  <c r="U120"/>
  <c r="R120"/>
  <c r="P120"/>
  <c r="N120"/>
  <c r="K120"/>
  <c r="H120"/>
  <c r="E120"/>
  <c r="W119"/>
  <c r="U119"/>
  <c r="R119"/>
  <c r="P119"/>
  <c r="N119"/>
  <c r="K119"/>
  <c r="H119"/>
  <c r="E119"/>
  <c r="W118"/>
  <c r="U118"/>
  <c r="R118"/>
  <c r="P118"/>
  <c r="N118"/>
  <c r="K118"/>
  <c r="H118"/>
  <c r="E118"/>
  <c r="W117"/>
  <c r="U117"/>
  <c r="R117"/>
  <c r="P117"/>
  <c r="N117"/>
  <c r="K117"/>
  <c r="H117"/>
  <c r="E117"/>
  <c r="W116"/>
  <c r="U116"/>
  <c r="R116"/>
  <c r="P116"/>
  <c r="N116"/>
  <c r="K116"/>
  <c r="H116"/>
  <c r="E116"/>
  <c r="W115"/>
  <c r="U115"/>
  <c r="R115"/>
  <c r="P115"/>
  <c r="N115"/>
  <c r="K115"/>
  <c r="H115"/>
  <c r="E115"/>
  <c r="W114"/>
  <c r="U114"/>
  <c r="R114"/>
  <c r="P114"/>
  <c r="N114"/>
  <c r="K114"/>
  <c r="H114"/>
  <c r="E114"/>
  <c r="W113"/>
  <c r="U113"/>
  <c r="R113"/>
  <c r="P113"/>
  <c r="N113"/>
  <c r="K113"/>
  <c r="H113"/>
  <c r="E113"/>
  <c r="W112"/>
  <c r="U112"/>
  <c r="R112"/>
  <c r="P112"/>
  <c r="N112"/>
  <c r="K112"/>
  <c r="H112"/>
  <c r="E112"/>
  <c r="W111"/>
  <c r="U111"/>
  <c r="R111"/>
  <c r="P111"/>
  <c r="N111"/>
  <c r="K111"/>
  <c r="H111"/>
  <c r="E111"/>
  <c r="W110"/>
  <c r="U110"/>
  <c r="R110"/>
  <c r="P110"/>
  <c r="N110"/>
  <c r="K110"/>
  <c r="H110"/>
  <c r="E110"/>
  <c r="W109"/>
  <c r="U109"/>
  <c r="R109"/>
  <c r="P109"/>
  <c r="N109"/>
  <c r="K109"/>
  <c r="H109"/>
  <c r="E109"/>
  <c r="W108"/>
  <c r="U108"/>
  <c r="R108"/>
  <c r="P108"/>
  <c r="N108"/>
  <c r="K108"/>
  <c r="H108"/>
  <c r="E108"/>
  <c r="W107"/>
  <c r="U107"/>
  <c r="R107"/>
  <c r="P107"/>
  <c r="N107"/>
  <c r="K107"/>
  <c r="H107"/>
  <c r="E107"/>
  <c r="W106"/>
  <c r="U106"/>
  <c r="R106"/>
  <c r="P106"/>
  <c r="N106"/>
  <c r="K106"/>
  <c r="H106"/>
  <c r="E106"/>
  <c r="W105"/>
  <c r="U105"/>
  <c r="R105"/>
  <c r="P105"/>
  <c r="N105"/>
  <c r="K105"/>
  <c r="H105"/>
  <c r="E105"/>
  <c r="W104"/>
  <c r="U104"/>
  <c r="R104"/>
  <c r="P104"/>
  <c r="N104"/>
  <c r="K104"/>
  <c r="H104"/>
  <c r="E104"/>
  <c r="W103"/>
  <c r="U103"/>
  <c r="R103"/>
  <c r="P103"/>
  <c r="N103"/>
  <c r="K103"/>
  <c r="H103"/>
  <c r="E103"/>
  <c r="W102"/>
  <c r="U102"/>
  <c r="R102"/>
  <c r="P102"/>
  <c r="N102"/>
  <c r="K102"/>
  <c r="H102"/>
  <c r="E102"/>
  <c r="W97"/>
  <c r="U97"/>
  <c r="R97"/>
  <c r="P97"/>
  <c r="N97"/>
  <c r="E97"/>
  <c r="W96"/>
  <c r="U96"/>
  <c r="R96"/>
  <c r="P96"/>
  <c r="N96"/>
  <c r="K96"/>
  <c r="H96"/>
  <c r="E96"/>
  <c r="W95"/>
  <c r="U95"/>
  <c r="U94" s="1"/>
  <c r="R95"/>
  <c r="P95"/>
  <c r="P94" s="1"/>
  <c r="N95"/>
  <c r="N94" s="1"/>
  <c r="K95"/>
  <c r="H95"/>
  <c r="E95"/>
  <c r="E94" s="1"/>
  <c r="X94"/>
  <c r="V94"/>
  <c r="T94"/>
  <c r="S94"/>
  <c r="R94"/>
  <c r="Q94"/>
  <c r="O94"/>
  <c r="M94"/>
  <c r="L94"/>
  <c r="J94"/>
  <c r="H93" s="1"/>
  <c r="I94"/>
  <c r="G94"/>
  <c r="F94"/>
  <c r="W93"/>
  <c r="U93"/>
  <c r="R93"/>
  <c r="P93"/>
  <c r="N93"/>
  <c r="K93"/>
  <c r="E93"/>
  <c r="W92"/>
  <c r="U92"/>
  <c r="R92"/>
  <c r="P92"/>
  <c r="N92"/>
  <c r="K92"/>
  <c r="H92"/>
  <c r="E92"/>
  <c r="W91"/>
  <c r="U91"/>
  <c r="R91"/>
  <c r="P91"/>
  <c r="N91"/>
  <c r="K91"/>
  <c r="H91"/>
  <c r="E91"/>
  <c r="W90"/>
  <c r="U90"/>
  <c r="R90"/>
  <c r="P90"/>
  <c r="N90"/>
  <c r="K90"/>
  <c r="H90"/>
  <c r="W89"/>
  <c r="U89"/>
  <c r="R89"/>
  <c r="P89"/>
  <c r="N89"/>
  <c r="K89"/>
  <c r="H89"/>
  <c r="E89"/>
  <c r="W88"/>
  <c r="U88"/>
  <c r="R88"/>
  <c r="P88"/>
  <c r="N88"/>
  <c r="K88"/>
  <c r="H88"/>
  <c r="E88"/>
  <c r="X87"/>
  <c r="V87"/>
  <c r="T87"/>
  <c r="S87"/>
  <c r="R87"/>
  <c r="Q87"/>
  <c r="O87"/>
  <c r="M87"/>
  <c r="L87"/>
  <c r="J87"/>
  <c r="G87"/>
  <c r="F87"/>
  <c r="W86"/>
  <c r="U86"/>
  <c r="R86"/>
  <c r="P86"/>
  <c r="N86"/>
  <c r="K86"/>
  <c r="H86"/>
  <c r="E86"/>
  <c r="W85"/>
  <c r="U85"/>
  <c r="R85"/>
  <c r="P85"/>
  <c r="N85"/>
  <c r="K85"/>
  <c r="H85"/>
  <c r="E85"/>
  <c r="W84"/>
  <c r="U84"/>
  <c r="R84"/>
  <c r="P84"/>
  <c r="N84"/>
  <c r="K84"/>
  <c r="H84"/>
  <c r="E84"/>
  <c r="W83"/>
  <c r="U83"/>
  <c r="R83"/>
  <c r="P83"/>
  <c r="N83"/>
  <c r="K83"/>
  <c r="H83"/>
  <c r="E83"/>
  <c r="W82"/>
  <c r="U82"/>
  <c r="R82"/>
  <c r="P82"/>
  <c r="N82"/>
  <c r="K82"/>
  <c r="H82"/>
  <c r="E82"/>
  <c r="W81"/>
  <c r="U81"/>
  <c r="R81"/>
  <c r="P81"/>
  <c r="N81"/>
  <c r="K81"/>
  <c r="H81"/>
  <c r="E81"/>
  <c r="W80"/>
  <c r="U80"/>
  <c r="R80"/>
  <c r="P80"/>
  <c r="N80"/>
  <c r="K80"/>
  <c r="H80"/>
  <c r="E80"/>
  <c r="W79"/>
  <c r="U79"/>
  <c r="R79"/>
  <c r="P79"/>
  <c r="N79"/>
  <c r="K79"/>
  <c r="H79"/>
  <c r="E79"/>
  <c r="W78"/>
  <c r="U78"/>
  <c r="R78"/>
  <c r="P78"/>
  <c r="N78"/>
  <c r="K78"/>
  <c r="H78"/>
  <c r="E78"/>
  <c r="W77"/>
  <c r="U77"/>
  <c r="R77"/>
  <c r="P77"/>
  <c r="N77"/>
  <c r="K77"/>
  <c r="H77"/>
  <c r="E77"/>
  <c r="W76"/>
  <c r="W74" s="1"/>
  <c r="W72" s="1"/>
  <c r="U76"/>
  <c r="U74" s="1"/>
  <c r="U72" s="1"/>
  <c r="R76"/>
  <c r="R74" s="1"/>
  <c r="R72" s="1"/>
  <c r="P76"/>
  <c r="P74" s="1"/>
  <c r="P72" s="1"/>
  <c r="N76"/>
  <c r="K76"/>
  <c r="H76"/>
  <c r="E76"/>
  <c r="W75"/>
  <c r="U75"/>
  <c r="U73" s="1"/>
  <c r="R75"/>
  <c r="R73" s="1"/>
  <c r="P75"/>
  <c r="P73" s="1"/>
  <c r="N75"/>
  <c r="N73" s="1"/>
  <c r="K75"/>
  <c r="H75"/>
  <c r="E75"/>
  <c r="X74"/>
  <c r="X72" s="1"/>
  <c r="V74"/>
  <c r="T74"/>
  <c r="T72" s="1"/>
  <c r="S74"/>
  <c r="S72" s="1"/>
  <c r="Q74"/>
  <c r="Q72" s="1"/>
  <c r="Q98" s="1"/>
  <c r="O74"/>
  <c r="O72" s="1"/>
  <c r="N74"/>
  <c r="N72" s="1"/>
  <c r="M74"/>
  <c r="J74"/>
  <c r="J72" s="1"/>
  <c r="I74"/>
  <c r="I72" s="1"/>
  <c r="G74"/>
  <c r="G72" s="1"/>
  <c r="F74"/>
  <c r="E74"/>
  <c r="E72" s="1"/>
  <c r="X73"/>
  <c r="V73"/>
  <c r="T73"/>
  <c r="S73"/>
  <c r="Q73"/>
  <c r="O73"/>
  <c r="M73"/>
  <c r="L73"/>
  <c r="J73"/>
  <c r="I73"/>
  <c r="G73"/>
  <c r="F73"/>
  <c r="E73"/>
  <c r="V72"/>
  <c r="M72"/>
  <c r="F72"/>
  <c r="W71"/>
  <c r="U71"/>
  <c r="R71"/>
  <c r="P71"/>
  <c r="N71"/>
  <c r="K71"/>
  <c r="H71"/>
  <c r="W70"/>
  <c r="U70"/>
  <c r="R70"/>
  <c r="P70"/>
  <c r="N70"/>
  <c r="K70"/>
  <c r="H70"/>
  <c r="W69"/>
  <c r="U69"/>
  <c r="R69"/>
  <c r="P69"/>
  <c r="N69"/>
  <c r="K69"/>
  <c r="H69"/>
  <c r="W68"/>
  <c r="U68"/>
  <c r="R68"/>
  <c r="P68"/>
  <c r="N68"/>
  <c r="K68"/>
  <c r="H68"/>
  <c r="W67"/>
  <c r="U67"/>
  <c r="R67"/>
  <c r="P67"/>
  <c r="N67"/>
  <c r="K67"/>
  <c r="H67"/>
  <c r="W66"/>
  <c r="U66"/>
  <c r="R66"/>
  <c r="P66"/>
  <c r="N66"/>
  <c r="K66"/>
  <c r="H66"/>
  <c r="W65"/>
  <c r="U65"/>
  <c r="R65"/>
  <c r="P65"/>
  <c r="N65"/>
  <c r="K65"/>
  <c r="H65"/>
  <c r="W64"/>
  <c r="U64"/>
  <c r="R64"/>
  <c r="P64"/>
  <c r="N64"/>
  <c r="K64"/>
  <c r="H64"/>
  <c r="W63"/>
  <c r="U63"/>
  <c r="R63"/>
  <c r="P63"/>
  <c r="N63"/>
  <c r="K63"/>
  <c r="H63"/>
  <c r="W62"/>
  <c r="U62"/>
  <c r="R62"/>
  <c r="P62"/>
  <c r="N62"/>
  <c r="K62"/>
  <c r="H62"/>
  <c r="W61"/>
  <c r="U61"/>
  <c r="R61"/>
  <c r="P61"/>
  <c r="N61"/>
  <c r="K61"/>
  <c r="H61"/>
  <c r="W60"/>
  <c r="U60"/>
  <c r="R60"/>
  <c r="P60"/>
  <c r="N60"/>
  <c r="K60"/>
  <c r="H60"/>
  <c r="W59"/>
  <c r="U59"/>
  <c r="R59"/>
  <c r="P59"/>
  <c r="N59"/>
  <c r="K59"/>
  <c r="H59"/>
  <c r="E59"/>
  <c r="W58"/>
  <c r="U58"/>
  <c r="R58"/>
  <c r="P58"/>
  <c r="N58"/>
  <c r="K58"/>
  <c r="H58"/>
  <c r="E58"/>
  <c r="W57"/>
  <c r="U57"/>
  <c r="R57"/>
  <c r="P57"/>
  <c r="N57"/>
  <c r="K57"/>
  <c r="H57"/>
  <c r="E57"/>
  <c r="W56"/>
  <c r="U56"/>
  <c r="R56"/>
  <c r="P56"/>
  <c r="N56"/>
  <c r="K56"/>
  <c r="H56"/>
  <c r="E56"/>
  <c r="W55"/>
  <c r="U55"/>
  <c r="R55"/>
  <c r="P55"/>
  <c r="N55"/>
  <c r="K55"/>
  <c r="H55"/>
  <c r="E55"/>
  <c r="W54"/>
  <c r="U54"/>
  <c r="R54"/>
  <c r="P54"/>
  <c r="N54"/>
  <c r="K54"/>
  <c r="H54"/>
  <c r="E54"/>
  <c r="W53"/>
  <c r="U53"/>
  <c r="R53"/>
  <c r="P53"/>
  <c r="N53"/>
  <c r="K53"/>
  <c r="H53"/>
  <c r="E53"/>
  <c r="W52"/>
  <c r="U52"/>
  <c r="R52"/>
  <c r="P52"/>
  <c r="N52"/>
  <c r="K52"/>
  <c r="H52"/>
  <c r="E52"/>
  <c r="W51"/>
  <c r="U51"/>
  <c r="R51"/>
  <c r="P51"/>
  <c r="N51"/>
  <c r="K51"/>
  <c r="D100"/>
  <c r="E51"/>
  <c r="W50"/>
  <c r="U50"/>
  <c r="R50"/>
  <c r="P50"/>
  <c r="N50"/>
  <c r="K50"/>
  <c r="H50"/>
  <c r="E50"/>
  <c r="W49"/>
  <c r="U49"/>
  <c r="R49"/>
  <c r="P49"/>
  <c r="N49"/>
  <c r="K49"/>
  <c r="H49"/>
  <c r="E49"/>
  <c r="W48"/>
  <c r="U48"/>
  <c r="R48"/>
  <c r="P48"/>
  <c r="N48"/>
  <c r="K48"/>
  <c r="H48"/>
  <c r="E48"/>
  <c r="W47"/>
  <c r="U47"/>
  <c r="R47"/>
  <c r="P47"/>
  <c r="N47"/>
  <c r="K47"/>
  <c r="H47"/>
  <c r="E47"/>
  <c r="W46"/>
  <c r="U46"/>
  <c r="R46"/>
  <c r="P46"/>
  <c r="N46"/>
  <c r="K46"/>
  <c r="H46"/>
  <c r="E46"/>
  <c r="W45"/>
  <c r="U45"/>
  <c r="R45"/>
  <c r="P45"/>
  <c r="N45"/>
  <c r="K45"/>
  <c r="H45"/>
  <c r="E45"/>
  <c r="W44"/>
  <c r="U44"/>
  <c r="R44"/>
  <c r="P44"/>
  <c r="N44"/>
  <c r="K44"/>
  <c r="H44"/>
  <c r="E44"/>
  <c r="U43"/>
  <c r="R43"/>
  <c r="P43"/>
  <c r="N43"/>
  <c r="K43"/>
  <c r="H43"/>
  <c r="U42"/>
  <c r="R42"/>
  <c r="P42"/>
  <c r="N42"/>
  <c r="K42"/>
  <c r="H42"/>
  <c r="U41"/>
  <c r="R41"/>
  <c r="P41"/>
  <c r="N41"/>
  <c r="K41"/>
  <c r="H41"/>
  <c r="U40"/>
  <c r="R40"/>
  <c r="P40"/>
  <c r="N40"/>
  <c r="K40"/>
  <c r="H40"/>
  <c r="W39"/>
  <c r="U39"/>
  <c r="R39"/>
  <c r="P39"/>
  <c r="N39"/>
  <c r="K39"/>
  <c r="H39"/>
  <c r="E39"/>
  <c r="W38"/>
  <c r="U38"/>
  <c r="R38"/>
  <c r="P38"/>
  <c r="N38"/>
  <c r="K38"/>
  <c r="H38"/>
  <c r="E38"/>
  <c r="W37"/>
  <c r="U37"/>
  <c r="R37"/>
  <c r="P37"/>
  <c r="N37"/>
  <c r="K37"/>
  <c r="H37"/>
  <c r="E37"/>
  <c r="W36"/>
  <c r="U36"/>
  <c r="R36"/>
  <c r="P36"/>
  <c r="N36"/>
  <c r="K36"/>
  <c r="H36"/>
  <c r="E36"/>
  <c r="W35"/>
  <c r="U35"/>
  <c r="R35"/>
  <c r="P35"/>
  <c r="N35"/>
  <c r="K35"/>
  <c r="H35"/>
  <c r="E35"/>
  <c r="W34"/>
  <c r="U34"/>
  <c r="R34"/>
  <c r="P34"/>
  <c r="K34"/>
  <c r="H34"/>
  <c r="E34"/>
  <c r="W33"/>
  <c r="U33"/>
  <c r="R33"/>
  <c r="P33"/>
  <c r="K33"/>
  <c r="H33"/>
  <c r="E33"/>
  <c r="W32"/>
  <c r="U32"/>
  <c r="R32"/>
  <c r="P32"/>
  <c r="N32"/>
  <c r="K32"/>
  <c r="H32"/>
  <c r="W31"/>
  <c r="U31"/>
  <c r="R31"/>
  <c r="P31"/>
  <c r="N31"/>
  <c r="K31"/>
  <c r="H31"/>
  <c r="W30"/>
  <c r="U30"/>
  <c r="R30"/>
  <c r="P30"/>
  <c r="N30"/>
  <c r="K30"/>
  <c r="H30"/>
  <c r="W29"/>
  <c r="U29"/>
  <c r="R29"/>
  <c r="P29"/>
  <c r="N29"/>
  <c r="K29"/>
  <c r="H29"/>
  <c r="W28"/>
  <c r="U28"/>
  <c r="R28"/>
  <c r="P28"/>
  <c r="N28"/>
  <c r="K28"/>
  <c r="H28"/>
  <c r="W27"/>
  <c r="U27"/>
  <c r="R27"/>
  <c r="P27"/>
  <c r="N27"/>
  <c r="K27"/>
  <c r="H27"/>
  <c r="W26"/>
  <c r="U26"/>
  <c r="R26"/>
  <c r="P26"/>
  <c r="N26"/>
  <c r="K26"/>
  <c r="H26"/>
  <c r="W25"/>
  <c r="U25"/>
  <c r="R25"/>
  <c r="P25"/>
  <c r="N25"/>
  <c r="K25"/>
  <c r="H25"/>
  <c r="W24"/>
  <c r="U24"/>
  <c r="R24"/>
  <c r="P24"/>
  <c r="N24"/>
  <c r="K24"/>
  <c r="H24"/>
  <c r="W23"/>
  <c r="U23"/>
  <c r="R23"/>
  <c r="P23"/>
  <c r="N23"/>
  <c r="M23"/>
  <c r="L23"/>
  <c r="J23"/>
  <c r="I23"/>
  <c r="W22"/>
  <c r="U22"/>
  <c r="R22"/>
  <c r="P22"/>
  <c r="N22"/>
  <c r="K22"/>
  <c r="H22"/>
  <c r="W21"/>
  <c r="U21"/>
  <c r="R21"/>
  <c r="P21"/>
  <c r="N21"/>
  <c r="K21"/>
  <c r="H21"/>
  <c r="W20"/>
  <c r="U20"/>
  <c r="R20"/>
  <c r="P20"/>
  <c r="N20"/>
  <c r="K20"/>
  <c r="H20"/>
  <c r="E20"/>
  <c r="W19"/>
  <c r="U19"/>
  <c r="R19"/>
  <c r="P19"/>
  <c r="N19"/>
  <c r="K19"/>
  <c r="H19"/>
  <c r="E19"/>
  <c r="W18"/>
  <c r="W16" s="1"/>
  <c r="U18"/>
  <c r="U16" s="1"/>
  <c r="R18"/>
  <c r="R16" s="1"/>
  <c r="P18"/>
  <c r="P16" s="1"/>
  <c r="N18"/>
  <c r="K18"/>
  <c r="H18"/>
  <c r="E18"/>
  <c r="E16" s="1"/>
  <c r="W17"/>
  <c r="U17"/>
  <c r="R17"/>
  <c r="R15" s="1"/>
  <c r="P17"/>
  <c r="P15" s="1"/>
  <c r="N17"/>
  <c r="N15" s="1"/>
  <c r="K17"/>
  <c r="H17"/>
  <c r="E17"/>
  <c r="E15" s="1"/>
  <c r="X16"/>
  <c r="V16"/>
  <c r="T16"/>
  <c r="S16"/>
  <c r="Q16"/>
  <c r="O16"/>
  <c r="N16"/>
  <c r="M16"/>
  <c r="M16" i="27" s="1"/>
  <c r="M13" s="1"/>
  <c r="M98" s="1"/>
  <c r="L16" i="23"/>
  <c r="J16"/>
  <c r="J16" i="27" s="1"/>
  <c r="J13" s="1"/>
  <c r="J98" s="1"/>
  <c r="I16" i="23"/>
  <c r="I16" i="27" s="1"/>
  <c r="G16" i="23"/>
  <c r="G13" s="1"/>
  <c r="F16"/>
  <c r="F13" s="1"/>
  <c r="X15"/>
  <c r="W15"/>
  <c r="V15"/>
  <c r="U15"/>
  <c r="T15"/>
  <c r="S15"/>
  <c r="Q15"/>
  <c r="O15"/>
  <c r="M15"/>
  <c r="M15" i="27" s="1"/>
  <c r="L15" i="23"/>
  <c r="L15" i="27" s="1"/>
  <c r="J15" i="23"/>
  <c r="J15" i="27" s="1"/>
  <c r="I15" i="23"/>
  <c r="G15"/>
  <c r="F15"/>
  <c r="K14"/>
  <c r="H14"/>
  <c r="I100" i="41" l="1"/>
  <c r="D97"/>
  <c r="D21" i="23"/>
  <c r="K23"/>
  <c r="D42"/>
  <c r="D60"/>
  <c r="D62"/>
  <c r="D64"/>
  <c r="D66"/>
  <c r="D68"/>
  <c r="D70"/>
  <c r="O98"/>
  <c r="S98"/>
  <c r="D73" i="27"/>
  <c r="K74" i="41"/>
  <c r="L72"/>
  <c r="H74"/>
  <c r="D74" s="1"/>
  <c r="I72"/>
  <c r="E87" i="23"/>
  <c r="D119"/>
  <c r="D27"/>
  <c r="D31"/>
  <c r="P87"/>
  <c r="H80" i="36"/>
  <c r="G80" s="1"/>
  <c r="E80" s="1"/>
  <c r="F80" s="1"/>
  <c r="H81"/>
  <c r="G81" s="1"/>
  <c r="E81" s="1"/>
  <c r="F81" s="1"/>
  <c r="H87"/>
  <c r="G87" s="1"/>
  <c r="E87" s="1"/>
  <c r="F87" s="1"/>
  <c r="H86"/>
  <c r="G86" s="1"/>
  <c r="E86" s="1"/>
  <c r="F86" s="1"/>
  <c r="H79"/>
  <c r="G79" s="1"/>
  <c r="E79" s="1"/>
  <c r="F79" s="1"/>
  <c r="H85"/>
  <c r="G85" s="1"/>
  <c r="E85" s="1"/>
  <c r="F85" s="1"/>
  <c r="D26" i="23"/>
  <c r="D30"/>
  <c r="D47"/>
  <c r="D53"/>
  <c r="D59"/>
  <c r="D63"/>
  <c r="D67"/>
  <c r="D71"/>
  <c r="N87"/>
  <c r="N98" s="1"/>
  <c r="H94"/>
  <c r="D107"/>
  <c r="D111"/>
  <c r="D117"/>
  <c r="D118"/>
  <c r="D135"/>
  <c r="H85" i="3"/>
  <c r="G85" s="1"/>
  <c r="D129" i="23"/>
  <c r="D79" i="27"/>
  <c r="R139" i="23"/>
  <c r="D113"/>
  <c r="D115"/>
  <c r="D137"/>
  <c r="D144"/>
  <c r="E140"/>
  <c r="R140"/>
  <c r="D152"/>
  <c r="H23"/>
  <c r="D23" s="1"/>
  <c r="D45"/>
  <c r="D109"/>
  <c r="K128"/>
  <c r="D131"/>
  <c r="D133"/>
  <c r="D134"/>
  <c r="N139"/>
  <c r="W139"/>
  <c r="D143"/>
  <c r="E139"/>
  <c r="D151"/>
  <c r="D155"/>
  <c r="D78" i="27"/>
  <c r="J13" i="23"/>
  <c r="J98" s="1"/>
  <c r="D24"/>
  <c r="D28"/>
  <c r="D32"/>
  <c r="D75"/>
  <c r="D93"/>
  <c r="D95"/>
  <c r="D102"/>
  <c r="D104"/>
  <c r="D106"/>
  <c r="D123"/>
  <c r="H128"/>
  <c r="D142"/>
  <c r="D150"/>
  <c r="D154"/>
  <c r="K16"/>
  <c r="L16" i="27"/>
  <c r="V98" i="23"/>
  <c r="H78" i="33"/>
  <c r="H80" i="3"/>
  <c r="G80" s="1"/>
  <c r="K77" i="33"/>
  <c r="L73"/>
  <c r="K73" s="1"/>
  <c r="H15" i="23"/>
  <c r="I15" i="27"/>
  <c r="H15" s="1"/>
  <c r="E13" i="23"/>
  <c r="E98" s="1"/>
  <c r="W94"/>
  <c r="D108"/>
  <c r="D122"/>
  <c r="H80" i="33"/>
  <c r="D80" s="1"/>
  <c r="H82" i="3"/>
  <c r="G82" s="1"/>
  <c r="H52" i="33"/>
  <c r="D52" s="1"/>
  <c r="H54" i="3"/>
  <c r="G54" s="1"/>
  <c r="D83" i="33"/>
  <c r="H75"/>
  <c r="D75" s="1"/>
  <c r="H77" i="3"/>
  <c r="G77" s="1"/>
  <c r="I73" i="33"/>
  <c r="H75" i="36" s="1"/>
  <c r="G75" s="1"/>
  <c r="E75" s="1"/>
  <c r="F75" s="1"/>
  <c r="H83" i="3"/>
  <c r="G83" s="1"/>
  <c r="H81" i="33"/>
  <c r="D81" s="1"/>
  <c r="H55" i="3"/>
  <c r="G55" s="1"/>
  <c r="H53" i="33"/>
  <c r="D53" s="1"/>
  <c r="H79"/>
  <c r="D79" s="1"/>
  <c r="H81" i="3"/>
  <c r="G81" s="1"/>
  <c r="H86" i="33"/>
  <c r="D86" s="1"/>
  <c r="H88" i="3"/>
  <c r="G88" s="1"/>
  <c r="I72" i="27"/>
  <c r="H74"/>
  <c r="H55" i="33"/>
  <c r="D55" s="1"/>
  <c r="H57" i="3"/>
  <c r="G57" s="1"/>
  <c r="H82" i="33"/>
  <c r="D82" s="1"/>
  <c r="H84" i="3"/>
  <c r="G84" s="1"/>
  <c r="H54" i="33"/>
  <c r="D54" s="1"/>
  <c r="H56" i="3"/>
  <c r="G56" s="1"/>
  <c r="L13" i="23"/>
  <c r="H16" i="27"/>
  <c r="I13"/>
  <c r="H13" s="1"/>
  <c r="G98" i="23"/>
  <c r="F98"/>
  <c r="D110"/>
  <c r="D121"/>
  <c r="D124"/>
  <c r="D126"/>
  <c r="E128"/>
  <c r="D130"/>
  <c r="D138"/>
  <c r="P139"/>
  <c r="P140"/>
  <c r="D146"/>
  <c r="I100" i="27"/>
  <c r="D97"/>
  <c r="H86" i="3"/>
  <c r="G86" s="1"/>
  <c r="D86" i="27"/>
  <c r="D85"/>
  <c r="D77"/>
  <c r="K78" i="33"/>
  <c r="L74"/>
  <c r="W87" i="23"/>
  <c r="X98"/>
  <c r="R98"/>
  <c r="D103"/>
  <c r="D105"/>
  <c r="D120"/>
  <c r="D136"/>
  <c r="M13"/>
  <c r="M98" s="1"/>
  <c r="K15" i="27"/>
  <c r="D22" i="23"/>
  <c r="D25"/>
  <c r="D29"/>
  <c r="D41"/>
  <c r="D43"/>
  <c r="D61"/>
  <c r="D65"/>
  <c r="D69"/>
  <c r="W73"/>
  <c r="K87"/>
  <c r="U87"/>
  <c r="U98" s="1"/>
  <c r="D92"/>
  <c r="K94"/>
  <c r="D94" s="1"/>
  <c r="T98"/>
  <c r="D96"/>
  <c r="D112"/>
  <c r="D114"/>
  <c r="D116"/>
  <c r="D125"/>
  <c r="D127"/>
  <c r="R128"/>
  <c r="D132"/>
  <c r="D156"/>
  <c r="K74" i="27"/>
  <c r="L72"/>
  <c r="K72" s="1"/>
  <c r="H99" i="3"/>
  <c r="G99" s="1"/>
  <c r="H97" i="33"/>
  <c r="H42"/>
  <c r="D42" s="1"/>
  <c r="H44" i="3"/>
  <c r="G44" s="1"/>
  <c r="H44" i="33"/>
  <c r="D44" s="1"/>
  <c r="H46" i="3"/>
  <c r="G46" s="1"/>
  <c r="D84" i="33"/>
  <c r="H78" i="3"/>
  <c r="G78" s="1"/>
  <c r="H76" i="33"/>
  <c r="D76" s="1"/>
  <c r="I74"/>
  <c r="H45"/>
  <c r="D45" s="1"/>
  <c r="H47" i="3"/>
  <c r="G47" s="1"/>
  <c r="H85" i="33"/>
  <c r="D85" s="1"/>
  <c r="H87" i="3"/>
  <c r="G87" s="1"/>
  <c r="H79"/>
  <c r="G79" s="1"/>
  <c r="H77" i="33"/>
  <c r="H43"/>
  <c r="D43" s="1"/>
  <c r="H45" i="3"/>
  <c r="G45" s="1"/>
  <c r="I13" i="33"/>
  <c r="H15" i="36" s="1"/>
  <c r="G15" s="1"/>
  <c r="E15" s="1"/>
  <c r="F15" s="1"/>
  <c r="D98" i="25"/>
  <c r="E99" s="1"/>
  <c r="J100" s="1"/>
  <c r="D44" i="23"/>
  <c r="D18"/>
  <c r="H16"/>
  <c r="D16" s="1"/>
  <c r="K73"/>
  <c r="H73"/>
  <c r="H74"/>
  <c r="H72"/>
  <c r="D57"/>
  <c r="D49"/>
  <c r="D48"/>
  <c r="D36"/>
  <c r="D82"/>
  <c r="D90"/>
  <c r="D55"/>
  <c r="D54"/>
  <c r="D89"/>
  <c r="D76"/>
  <c r="D81"/>
  <c r="D77"/>
  <c r="D85"/>
  <c r="D33"/>
  <c r="D88"/>
  <c r="D91"/>
  <c r="D86"/>
  <c r="D83"/>
  <c r="D79"/>
  <c r="D50"/>
  <c r="D35"/>
  <c r="D37"/>
  <c r="D39"/>
  <c r="D34"/>
  <c r="D40"/>
  <c r="D38"/>
  <c r="D46"/>
  <c r="D52"/>
  <c r="D56"/>
  <c r="D58"/>
  <c r="D14"/>
  <c r="D20"/>
  <c r="K15"/>
  <c r="D17"/>
  <c r="D19"/>
  <c r="P98"/>
  <c r="D78"/>
  <c r="D80"/>
  <c r="D84"/>
  <c r="I13"/>
  <c r="H51"/>
  <c r="D51" s="1"/>
  <c r="L74"/>
  <c r="I87"/>
  <c r="H87" s="1"/>
  <c r="H97"/>
  <c r="K97"/>
  <c r="H72" i="41" l="1"/>
  <c r="I98"/>
  <c r="H98" s="1"/>
  <c r="K72"/>
  <c r="L98"/>
  <c r="K98" s="1"/>
  <c r="M100" s="1"/>
  <c r="D77" i="33"/>
  <c r="H76" i="36"/>
  <c r="G76" s="1"/>
  <c r="E76" s="1"/>
  <c r="F76" s="1"/>
  <c r="D74" i="27"/>
  <c r="W98" i="23"/>
  <c r="H13"/>
  <c r="D78" i="33"/>
  <c r="K13" i="23"/>
  <c r="D13" s="1"/>
  <c r="H76" i="3"/>
  <c r="G76" s="1"/>
  <c r="I72" i="33"/>
  <c r="H74"/>
  <c r="H72" i="27"/>
  <c r="D72" s="1"/>
  <c r="I98"/>
  <c r="H98" s="1"/>
  <c r="L13"/>
  <c r="K16"/>
  <c r="D16" s="1"/>
  <c r="K74" i="33"/>
  <c r="L72"/>
  <c r="D128" i="23"/>
  <c r="D15"/>
  <c r="H13" i="33"/>
  <c r="D13" s="1"/>
  <c r="H15" i="3"/>
  <c r="G15" s="1"/>
  <c r="D87" i="23"/>
  <c r="I100" i="33"/>
  <c r="D97"/>
  <c r="H73"/>
  <c r="D73" s="1"/>
  <c r="H75" i="3"/>
  <c r="G75" s="1"/>
  <c r="D15" i="27"/>
  <c r="D73" i="23"/>
  <c r="D97"/>
  <c r="I100"/>
  <c r="L72"/>
  <c r="K74"/>
  <c r="D74" s="1"/>
  <c r="I98"/>
  <c r="H98" s="1"/>
  <c r="D98" i="41" l="1"/>
  <c r="E99" s="1"/>
  <c r="J100" s="1"/>
  <c r="D72"/>
  <c r="H74" i="36"/>
  <c r="G74" s="1"/>
  <c r="E74" s="1"/>
  <c r="F74" s="1"/>
  <c r="D74" i="33"/>
  <c r="K72"/>
  <c r="L98"/>
  <c r="K98" s="1"/>
  <c r="M100" s="1"/>
  <c r="L98" i="27"/>
  <c r="K98" s="1"/>
  <c r="M100" s="1"/>
  <c r="K13"/>
  <c r="D13" s="1"/>
  <c r="H74" i="3"/>
  <c r="G74" s="1"/>
  <c r="H72" i="33"/>
  <c r="D72" s="1"/>
  <c r="I98"/>
  <c r="H100" i="36" s="1"/>
  <c r="G100" s="1"/>
  <c r="E100" s="1"/>
  <c r="F100" s="1"/>
  <c r="K72" i="23"/>
  <c r="D72" s="1"/>
  <c r="L98"/>
  <c r="K98" s="1"/>
  <c r="M100" s="1"/>
  <c r="H100" i="3" l="1"/>
  <c r="G100" s="1"/>
  <c r="H98" i="33"/>
  <c r="D98" s="1"/>
  <c r="E99" s="1"/>
  <c r="J100" s="1"/>
  <c r="D98" i="27"/>
  <c r="E99" s="1"/>
  <c r="J100" s="1"/>
  <c r="D98" i="23"/>
  <c r="E99" s="1"/>
  <c r="J100" s="1"/>
  <c r="K91" i="5" l="1"/>
  <c r="K7" l="1"/>
  <c r="K8" l="1"/>
  <c r="K9"/>
  <c r="K10"/>
  <c r="K11"/>
  <c r="K12"/>
  <c r="K13"/>
  <c r="K15"/>
  <c r="K16"/>
  <c r="K17"/>
  <c r="K18"/>
  <c r="K19"/>
  <c r="K20"/>
  <c r="K25"/>
  <c r="K26"/>
  <c r="K27"/>
  <c r="K28"/>
  <c r="K29"/>
  <c r="K30"/>
  <c r="K31"/>
  <c r="K32"/>
  <c r="K33"/>
  <c r="K34"/>
  <c r="K35"/>
  <c r="K36"/>
  <c r="K37"/>
  <c r="K38"/>
  <c r="K41"/>
  <c r="K42"/>
  <c r="K43"/>
  <c r="K44"/>
  <c r="K45"/>
  <c r="K46"/>
  <c r="K47"/>
  <c r="K48"/>
  <c r="K49"/>
  <c r="K50"/>
  <c r="K51"/>
  <c r="K52"/>
  <c r="K59"/>
  <c r="K60"/>
  <c r="K63"/>
  <c r="K64"/>
  <c r="K65"/>
  <c r="K67"/>
  <c r="K69"/>
  <c r="K71"/>
  <c r="K73"/>
  <c r="K75"/>
  <c r="K77"/>
  <c r="K78"/>
  <c r="K79"/>
  <c r="K80"/>
  <c r="K82"/>
  <c r="K84"/>
  <c r="K86"/>
  <c r="K87"/>
  <c r="K90"/>
  <c r="K6"/>
  <c r="D92" l="1"/>
  <c r="H32" i="24" l="1"/>
  <c r="D32" s="1"/>
  <c r="H23"/>
  <c r="D23" s="1"/>
  <c r="J13"/>
  <c r="J98" s="1"/>
  <c r="H98" s="1"/>
  <c r="D98" s="1"/>
  <c r="E99" s="1"/>
  <c r="J100" s="1"/>
  <c r="H13" l="1"/>
  <c r="D13" s="1"/>
  <c r="E12" i="38" l="1"/>
</calcChain>
</file>

<file path=xl/sharedStrings.xml><?xml version="1.0" encoding="utf-8"?>
<sst xmlns="http://schemas.openxmlformats.org/spreadsheetml/2006/main" count="8486" uniqueCount="344">
  <si>
    <t xml:space="preserve"> Приложение № 1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</si>
  <si>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</si>
  <si>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</si>
  <si>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</si>
  <si>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</si>
  <si>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</si>
  <si>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</si>
  <si>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</si>
  <si>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</si>
  <si>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</si>
  <si>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</si>
  <si>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</si>
  <si>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</si>
  <si>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</si>
  <si>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</si>
  <si>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</si>
  <si>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</si>
  <si>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подр.сп.</t>
  </si>
  <si>
    <t>под.сп.</t>
  </si>
  <si>
    <t>I.</t>
  </si>
  <si>
    <t>ОБЩЕСТРОИТЕЛЬНЫЕ РАБОТЫ</t>
  </si>
  <si>
    <t>т.руб.</t>
  </si>
  <si>
    <t>Ремонт кровли (А.П.)</t>
  </si>
  <si>
    <t>кол-во домов</t>
  </si>
  <si>
    <t>т.кв.м</t>
  </si>
  <si>
    <t>в том числе,</t>
  </si>
  <si>
    <t>1.1</t>
  </si>
  <si>
    <t>жесткой</t>
  </si>
  <si>
    <t>1.2</t>
  </si>
  <si>
    <t>мягкой</t>
  </si>
  <si>
    <t>1.3.</t>
  </si>
  <si>
    <t>Усиление элементов деревянной стропильной системы</t>
  </si>
  <si>
    <t>Нормализация ТВР чердачных помещений всего,</t>
  </si>
  <si>
    <t>к-во домов</t>
  </si>
  <si>
    <t xml:space="preserve"> в том числе</t>
  </si>
  <si>
    <t>2.1.</t>
  </si>
  <si>
    <t>Утепление (засыпка) чердачного перекрытия</t>
  </si>
  <si>
    <t>м.куб.</t>
  </si>
  <si>
    <t>2.2.</t>
  </si>
  <si>
    <t>Дополнительная теплоизоляция верхней разводки системы</t>
  </si>
  <si>
    <t>п.м.</t>
  </si>
  <si>
    <t>отопления (по всей разводке)</t>
  </si>
  <si>
    <t>2.3.</t>
  </si>
  <si>
    <t xml:space="preserve">Покрытие фасонных частей верхней разводки </t>
  </si>
  <si>
    <t>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</si>
  <si>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</si>
  <si>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</si>
  <si>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</si>
  <si>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</si>
  <si>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дымовых каналов)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</si>
  <si>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</si>
  <si>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</si>
  <si>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</si>
  <si>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</si>
  <si>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</si>
  <si>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</si>
  <si>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</si>
  <si>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6.</t>
  </si>
  <si>
    <t>Восстановление отделки стен, потолков технических помещений</t>
  </si>
  <si>
    <t>Замена, восстановление отдельных участков полов, ступеней МОП и 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</si>
  <si>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</si>
  <si>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</si>
  <si>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</si>
  <si>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</si>
  <si>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</si>
  <si>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 xml:space="preserve">Ремонт и замена </t>
  </si>
  <si>
    <t>дверей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</si>
  <si>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</si>
  <si>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</si>
  <si>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</si>
  <si>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 балконов, козырьков 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</si>
  <si>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</si>
  <si>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</si>
  <si>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</si>
  <si>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Ремонт печей</t>
  </si>
  <si>
    <t>Устранение местных деформаций, усиление,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</si>
  <si>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</si>
  <si>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</si>
  <si>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</si>
  <si>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тыс.пог.м.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</si>
  <si>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</si>
  <si>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</si>
  <si>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</si>
  <si>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Ремонт трубопроводов, всего,</t>
  </si>
  <si>
    <t>в том числе:</t>
  </si>
  <si>
    <t>18.1.</t>
  </si>
  <si>
    <t>ГВС</t>
  </si>
  <si>
    <t>т.п.м.</t>
  </si>
  <si>
    <t>18.2.</t>
  </si>
  <si>
    <t>ХВС</t>
  </si>
  <si>
    <t>18.3.</t>
  </si>
  <si>
    <t>теплоснабжения</t>
  </si>
  <si>
    <t>18.4.</t>
  </si>
  <si>
    <t xml:space="preserve">систем канализации </t>
  </si>
  <si>
    <t>Замена отопительных приборов</t>
  </si>
  <si>
    <t>19.1.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</si>
  <si>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</si>
  <si>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</si>
  <si>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</si>
  <si>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</si>
  <si>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</si>
  <si>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</si>
  <si>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</si>
  <si>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</si>
  <si>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22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</si>
  <si>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</si>
  <si>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</si>
  <si>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</si>
  <si>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</si>
  <si>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24</t>
  </si>
  <si>
    <t>25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</si>
  <si>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</si>
  <si>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</si>
  <si>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</si>
  <si>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</si>
  <si>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 xml:space="preserve">Замена почтовых </t>
  </si>
  <si>
    <t>ящиков</t>
  </si>
  <si>
    <t>2</t>
  </si>
  <si>
    <t>Установка урн</t>
  </si>
  <si>
    <t>3</t>
  </si>
  <si>
    <t>Установка скамеек</t>
  </si>
  <si>
    <t>4</t>
  </si>
  <si>
    <t>Озеленение и</t>
  </si>
  <si>
    <t xml:space="preserve">газоны </t>
  </si>
  <si>
    <t>5</t>
  </si>
  <si>
    <t xml:space="preserve">Снос деревьев </t>
  </si>
  <si>
    <t>6</t>
  </si>
  <si>
    <t>Ремонт и замена вторичных сетей</t>
  </si>
  <si>
    <t>т.руб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</si>
  <si>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</si>
  <si>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</si>
  <si>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</si>
  <si>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</si>
  <si>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</si>
  <si>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</si>
  <si>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</si>
  <si>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10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</si>
  <si>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</si>
  <si>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</si>
  <si>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</si>
  <si>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11</t>
  </si>
  <si>
    <t>Ремонт и обслуживание ПЗУ</t>
  </si>
  <si>
    <t>12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</si>
  <si>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</si>
  <si>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</si>
  <si>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</si>
  <si>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15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</si>
  <si>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</si>
  <si>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</si>
  <si>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</si>
  <si>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</si>
  <si>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</si>
  <si>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</si>
  <si>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</si>
  <si>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</si>
  <si>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</si>
  <si>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</si>
  <si>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</t>
  </si>
  <si>
    <t>оборудования</t>
  </si>
  <si>
    <t>16.2</t>
  </si>
  <si>
    <t xml:space="preserve">Установка УБ </t>
  </si>
  <si>
    <t>17</t>
  </si>
  <si>
    <t>Платные услуги, всего в том числе</t>
  </si>
  <si>
    <t>17.1</t>
  </si>
  <si>
    <t>предоставляемые населению</t>
  </si>
  <si>
    <t>18</t>
  </si>
  <si>
    <t xml:space="preserve">Восстановление освещения,       всего, 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</si>
  <si>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</si>
  <si>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</si>
  <si>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</si>
  <si>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</si>
  <si>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</si>
  <si>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</si>
  <si>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</si>
  <si>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</si>
  <si>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</si>
  <si>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</si>
  <si>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</si>
  <si>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</si>
  <si>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</si>
  <si>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</si>
  <si>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</si>
  <si>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</si>
  <si>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ПЛАН</t>
  </si>
  <si>
    <t>«УТВЕРЖДАЮ»</t>
  </si>
  <si>
    <t>Генеральный директор</t>
  </si>
  <si>
    <t xml:space="preserve">ООО «Жилкомсервис №1 </t>
  </si>
  <si>
    <t>Фрунзенского района»</t>
  </si>
  <si>
    <t>________________П.В.Немкин</t>
  </si>
  <si>
    <t>Начальник ПТО                              ________________________                      А.Ю.Пищелевская</t>
  </si>
  <si>
    <t xml:space="preserve"> </t>
  </si>
  <si>
    <t>Главный инженер                     ________________________                            С.А.Куличкин</t>
  </si>
  <si>
    <t>ВСЕГО</t>
  </si>
  <si>
    <t>% выполнения</t>
  </si>
  <si>
    <r>
      <t>Антисептирование</t>
    </r>
    <r>
      <rPr>
        <sz val="12"/>
        <rFont val="Times New Roman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</si>
  <si>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"/>
        <family val="1"/>
        <charset val="204"/>
      </rPr>
      <t xml:space="preserve"> деревянной стропильной системы</t>
    </r>
  </si>
  <si>
    <t xml:space="preserve">    </t>
  </si>
  <si>
    <t xml:space="preserve">Замена и ремонт запорной арматуры </t>
  </si>
  <si>
    <t>ФАКТ</t>
  </si>
  <si>
    <t>ОТЧЕТ о выполнении Адресной программы по текущему ремонту по ООО "ЖКС № 1 Фрунзенского района" на 2017 год</t>
  </si>
  <si>
    <t>Отчет о выполнении Адресной программы по текущему ремонту по ООО "ЖКС № 1 Фрунзенского района" за январь 2017 года</t>
  </si>
  <si>
    <t>Адресная программа текущего ремонта по ООО "ЖКС № 1 Фрунзенского района" на 2017 год</t>
  </si>
  <si>
    <t>Отчет о выполнении Адресной программы по текущему ремонту по ООО "ЖКС № 1 Фрунзенского района" за февраль 2017 года</t>
  </si>
  <si>
    <t>И.о.главного инженера  _______________________________________________ А.Ю.Пищелевская</t>
  </si>
  <si>
    <t>Отчет о выполнении Адресной программы по текущему ремонту по ООО "ЖКС № 1 Фрунзенского района" за март 2017 года</t>
  </si>
  <si>
    <t>Отчет о выполнении Адресной программы по текущему ремонту по ООО "ЖКС № 1 Фрунзенского района" за 1 квартал 2017 года</t>
  </si>
  <si>
    <t xml:space="preserve">И.о.главного инженера  </t>
  </si>
  <si>
    <t>ООО "Жилкомсервис №1 Фрунзенского района"  ____________________________________  А.И.Бышко</t>
  </si>
  <si>
    <t>Отчет о выполнении Адресной программы по текущему ремонту по ООО "ЖКС № 1 Фрунзенского района" за апрель 2017 года</t>
  </si>
  <si>
    <t>Отчет о выполнении Адресной программы по текущему ремонту по ООО "ЖКС № 1 Фрунзенского района" за май 2017 года</t>
  </si>
  <si>
    <t>________________А.С.Вялушкин</t>
  </si>
  <si>
    <t>Главный инженер</t>
  </si>
  <si>
    <t>ООО "Жилкомсервис №1 Фрунзенского района"  ____________________________________  И.В.Наумовец</t>
  </si>
  <si>
    <t>Начальник ПТО                                                         _________________________________  А.Ю.Пищелевская</t>
  </si>
  <si>
    <t>Форма №3</t>
  </si>
  <si>
    <t>План на 2017</t>
  </si>
  <si>
    <t xml:space="preserve">Текущий ремонт, выполняемый за счет средств платы населения </t>
  </si>
  <si>
    <t>1.3</t>
  </si>
  <si>
    <t>2.</t>
  </si>
  <si>
    <t>Нормализация ТВР чердачных помещений, (А.П.)  всего, в  том числе:</t>
  </si>
  <si>
    <t>куб.м</t>
  </si>
  <si>
    <t>Дополнительная теплоизоляция верхней разводки системы отопления (по всей разводке)</t>
  </si>
  <si>
    <t>п.м</t>
  </si>
  <si>
    <t>Покрытие фасонных частей верхней разводки теплоизоляционной краской</t>
  </si>
  <si>
    <t>Прочие работы (ремонт вентиляционных и дымоходных каналов и т.д.)</t>
  </si>
  <si>
    <t>Герметизация стыков стеновых панелей</t>
  </si>
  <si>
    <t>Косметический ремонт лестничных клеток (А.П.)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</si>
  <si>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</si>
  <si>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</si>
  <si>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</si>
  <si>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</si>
  <si>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</si>
  <si>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</si>
  <si>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 xml:space="preserve">Ремонт отмостки </t>
  </si>
  <si>
    <t xml:space="preserve">Замена и восстановление дверных заплонений  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</si>
  <si>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</si>
  <si>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</si>
  <si>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</si>
  <si>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</si>
  <si>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</si>
  <si>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16</t>
  </si>
  <si>
    <t>тыс.кв.м</t>
  </si>
  <si>
    <t>19</t>
  </si>
  <si>
    <t>20</t>
  </si>
  <si>
    <t>тыс.п.м</t>
  </si>
  <si>
    <t>21</t>
  </si>
  <si>
    <t>Ремонт трубопроводов, всего, в том числе:</t>
  </si>
  <si>
    <t>22.1</t>
  </si>
  <si>
    <t>22.2</t>
  </si>
  <si>
    <t>22.3</t>
  </si>
  <si>
    <t>22.4</t>
  </si>
  <si>
    <t xml:space="preserve">Замена и ремонт эапорной арматуры систем Ц/О, ГВС, ХВС 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</si>
  <si>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</si>
  <si>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</si>
  <si>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</si>
  <si>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28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</si>
  <si>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</si>
  <si>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</si>
  <si>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</si>
  <si>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30</t>
  </si>
  <si>
    <t>Замена номерных знаков</t>
  </si>
  <si>
    <t>Организация мест консъержей</t>
  </si>
  <si>
    <t>5.1</t>
  </si>
  <si>
    <t>7.1</t>
  </si>
  <si>
    <t>7.1.1</t>
  </si>
  <si>
    <t>7.1.2</t>
  </si>
  <si>
    <t>7.1.3</t>
  </si>
  <si>
    <t>Замена узлов оборудования</t>
  </si>
  <si>
    <t>7.2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</si>
  <si>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</si>
  <si>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</si>
  <si>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</si>
  <si>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</si>
  <si>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</si>
  <si>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</si>
  <si>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</si>
  <si>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</si>
  <si>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</si>
  <si>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апр</t>
  </si>
  <si>
    <t>май</t>
  </si>
  <si>
    <t>1кв</t>
  </si>
  <si>
    <r>
      <t>Антисептирование</t>
    </r>
    <r>
      <rPr>
        <sz val="14"/>
        <rFont val="Times New Roman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</si>
  <si>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4"/>
        <rFont val="Times New Roman"/>
        <family val="1"/>
        <charset val="204"/>
      </rPr>
      <t xml:space="preserve"> деревянной стропильной системы</t>
    </r>
  </si>
  <si>
    <t>Отчет о выполнении Адресной программы по текущему ремонту по ООО "ЖКС № 1 Фрунзенского района" за июнь 2017 года</t>
  </si>
  <si>
    <t>Отчет о выполнении Адресной программы  по текущему ремонту по ООО "ЖКС № 1 Фрунзенского района" за 2 квартал 2017 года</t>
  </si>
  <si>
    <t>Начальник ПТО                                                    _________________________________  А.Ю.Пищелевская</t>
  </si>
  <si>
    <t>Зам.генерального директора</t>
  </si>
  <si>
    <t>ООО "Жилкомсервис №1 Фрунзенского района"  ____________________________________  К.Н.Кротов</t>
  </si>
  <si>
    <t>Начальник ПТО                                                _________________________________  А.Ю.Пищелевская</t>
  </si>
  <si>
    <t>за 6 мес.</t>
  </si>
  <si>
    <t>Выполнено на 01.07.2017</t>
  </si>
  <si>
    <t>Пищелевская А.Ю</t>
  </si>
  <si>
    <t>Алексеева Ю.В.</t>
  </si>
  <si>
    <t>Исполнитель, тел.:244-47-60</t>
  </si>
  <si>
    <t>ООО " ЖКС №1 Фрунзенского района"   _________________________________   К.Н.Кротов</t>
  </si>
  <si>
    <t>( с учетом корректировки после изменения тарифа оплаты за текущий ремонт общего имущества МКД с 01.07.2017г.)</t>
  </si>
  <si>
    <t>Отчет о выполнении Адресной программы  по текущему ремонту по ООО "ЖКС № 1 Фрунзенского района" за 6 месяцев 2017 года</t>
  </si>
  <si>
    <t xml:space="preserve">Сводный отчет о выполнение плана Текущего ремонта по ООО "ЖКС №1 Фрунзенского района"   </t>
  </si>
  <si>
    <t>за 6 месяцев 2017 года</t>
  </si>
  <si>
    <t>Отчет о выполнении Адресной программы по текущему ремонту по ООО "ЖКС № 1 Фрунзенского района" за июль 2017 года</t>
  </si>
  <si>
    <t>Выполнено на 15.08.2017</t>
  </si>
  <si>
    <t>ООО " ЖКС №1 Фрунзенского района"   _________________________________  И.В. Наумовец</t>
  </si>
  <si>
    <t>Отчет о выполнении Адресной программы по текущему ремонту по ООО "ЖКС № 1 Фрунзенского района" за август 2017 года</t>
  </si>
  <si>
    <t>Отчет о выполнении Адресной программы по текущему ремонту по ООО "ЖКС № 1 Фрунзенского района" за сентябрь 2017 года</t>
  </si>
  <si>
    <r>
      <t>Антисептирование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</si>
  <si>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</si>
  <si>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Отчет о выполнении Адресной программы по текущему ремонту по ООО "ЖКС № 1 Фрунзенского района" за 3 квартал 2017 года</t>
  </si>
  <si>
    <t>тыс.ру.</t>
  </si>
  <si>
    <r>
      <t>Антисептирование</t>
    </r>
    <r>
      <rPr>
        <sz val="10"/>
        <rFont val="Times New Roman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</si>
  <si>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0"/>
        <rFont val="Times New Roman"/>
        <family val="1"/>
        <charset val="204"/>
      </rPr>
      <t xml:space="preserve"> деревянной стропильной системы</t>
    </r>
  </si>
  <si>
    <t>Отчет о выполнении Адресной программы  по текущему ремонту по ООО "ЖКС № 1 Фрунзенского района" за 9 месяцев 2017 года</t>
  </si>
  <si>
    <t>Выполнено на 15.10.2017</t>
  </si>
  <si>
    <t>за 9 месяцев 2017 года</t>
  </si>
  <si>
    <r>
      <t>Антисептирование</t>
    </r>
    <r>
      <rPr>
        <sz val="8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</si>
  <si>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8"/>
        <rFont val="Times New Roman Cyr"/>
        <family val="1"/>
        <charset val="204"/>
      </rPr>
      <t xml:space="preserve"> деревянной стропильной системы</t>
    </r>
  </si>
  <si>
    <t>Отчет о выполнении Адресной программы по текущему ремонту по ООО "ЖКС № 1 Фрунзенского района" за октябрь 2017 года</t>
  </si>
  <si>
    <t>Отчет о выполнении Адресной программы по текущему ремонту по ООО "ЖКС № 1 Фрунзенского района" за ноябрь 2017 года</t>
  </si>
  <si>
    <t>Отчет о выполнении Адресной программы по текущему ремонту по ООО "ЖКС № 1 Фрунзенского района" за декабрь 2017 года</t>
  </si>
  <si>
    <t>7.</t>
  </si>
  <si>
    <t>5.</t>
  </si>
  <si>
    <t>4.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</si>
  <si>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</si>
  <si>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</si>
  <si>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</si>
  <si>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</si>
  <si>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</si>
  <si>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</si>
  <si>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</si>
  <si>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</si>
  <si>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</si>
  <si>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</si>
  <si>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</si>
  <si>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</si>
  <si>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</si>
  <si>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</si>
  <si>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</si>
  <si>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</t>
  </si>
  <si>
    <t>23.</t>
  </si>
  <si>
    <t>24.</t>
  </si>
  <si>
    <t>25.</t>
  </si>
  <si>
    <t>16.2.</t>
  </si>
  <si>
    <t>,</t>
  </si>
  <si>
    <t>Отчет о выполнении Адресной программы по текущему ремонту по ООО "ЖКС № 1 Фрунзенского района" за 4 квартал 2017 года</t>
  </si>
  <si>
    <t>Отчет о выполнении Адресной программы  по текущему ремонту по ООО "ЖКС № 1 Фрунзенского района" за 12 месяцев 2017 года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</si>
</sst>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%"/>
    <numFmt numFmtId="166" formatCode="0.00000"/>
    <numFmt numFmtId="167" formatCode="0.0000"/>
    <numFmt numFmtId="168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4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</fills>
  <borders count="2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902">
    <xf numFmtId="0" fontId="0" fillId="0" borderId="0" xfId="0"/>
    <xf numFmtId="164" fontId="4" fillId="0" borderId="19" xfId="0" applyNumberFormat="1" applyFont="1" applyFill="1" applyBorder="1"/>
    <xf numFmtId="164" fontId="4" fillId="0" borderId="30" xfId="0" applyNumberFormat="1" applyFont="1" applyFill="1" applyBorder="1"/>
    <xf numFmtId="164" fontId="4" fillId="0" borderId="35" xfId="0" applyNumberFormat="1" applyFont="1" applyFill="1" applyBorder="1"/>
    <xf numFmtId="164" fontId="4" fillId="0" borderId="0" xfId="0" applyNumberFormat="1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4" fillId="0" borderId="2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49" fontId="7" fillId="0" borderId="0" xfId="0" applyNumberFormat="1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164" fontId="8" fillId="0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/>
    <xf numFmtId="164" fontId="8" fillId="0" borderId="20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/>
    <xf numFmtId="164" fontId="7" fillId="0" borderId="20" xfId="0" applyNumberFormat="1" applyFont="1" applyFill="1" applyBorder="1" applyAlignment="1" applyProtection="1">
      <alignment horizontal="center"/>
      <protection locked="0"/>
    </xf>
    <xf numFmtId="164" fontId="7" fillId="0" borderId="20" xfId="0" applyNumberFormat="1" applyFont="1" applyFill="1" applyBorder="1" applyAlignment="1">
      <alignment horizontal="center"/>
    </xf>
    <xf numFmtId="0" fontId="7" fillId="4" borderId="0" xfId="0" applyFont="1" applyFill="1"/>
    <xf numFmtId="0" fontId="5" fillId="4" borderId="0" xfId="0" applyFont="1" applyFill="1"/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0" fontId="14" fillId="0" borderId="2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/>
    <xf numFmtId="164" fontId="7" fillId="0" borderId="10" xfId="0" applyNumberFormat="1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64" fontId="8" fillId="2" borderId="5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/>
    <xf numFmtId="164" fontId="7" fillId="0" borderId="15" xfId="0" applyNumberFormat="1" applyFont="1" applyFill="1" applyBorder="1"/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10" fillId="0" borderId="9" xfId="0" applyNumberFormat="1" applyFont="1" applyFill="1" applyBorder="1"/>
    <xf numFmtId="164" fontId="7" fillId="0" borderId="10" xfId="0" applyNumberFormat="1" applyFont="1" applyFill="1" applyBorder="1"/>
    <xf numFmtId="164" fontId="8" fillId="0" borderId="10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7" fillId="0" borderId="19" xfId="0" applyNumberFormat="1" applyFont="1" applyFill="1" applyBorder="1"/>
    <xf numFmtId="164" fontId="10" fillId="0" borderId="17" xfId="0" applyNumberFormat="1" applyFont="1" applyFill="1" applyBorder="1"/>
    <xf numFmtId="164" fontId="7" fillId="0" borderId="10" xfId="0" applyNumberFormat="1" applyFont="1" applyFill="1" applyBorder="1" applyAlignment="1" applyProtection="1">
      <alignment horizontal="center"/>
      <protection locked="0"/>
    </xf>
    <xf numFmtId="164" fontId="7" fillId="0" borderId="17" xfId="0" applyNumberFormat="1" applyFont="1" applyFill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7" fillId="0" borderId="17" xfId="0" applyNumberFormat="1" applyFont="1" applyFill="1" applyBorder="1"/>
    <xf numFmtId="164" fontId="7" fillId="0" borderId="11" xfId="0" applyNumberFormat="1" applyFont="1" applyFill="1" applyBorder="1" applyAlignment="1">
      <alignment horizontal="center"/>
    </xf>
    <xf numFmtId="164" fontId="7" fillId="0" borderId="21" xfId="0" applyNumberFormat="1" applyFont="1" applyFill="1" applyBorder="1"/>
    <xf numFmtId="164" fontId="10" fillId="0" borderId="21" xfId="0" applyNumberFormat="1" applyFont="1" applyFill="1" applyBorder="1"/>
    <xf numFmtId="164" fontId="7" fillId="0" borderId="22" xfId="0" applyNumberFormat="1" applyFont="1" applyFill="1" applyBorder="1"/>
    <xf numFmtId="164" fontId="8" fillId="0" borderId="22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 applyProtection="1">
      <alignment horizontal="center"/>
      <protection locked="0"/>
    </xf>
    <xf numFmtId="164" fontId="7" fillId="0" borderId="21" xfId="0" applyNumberFormat="1" applyFont="1" applyFill="1" applyBorder="1" applyAlignment="1" applyProtection="1">
      <alignment horizontal="center"/>
      <protection locked="0"/>
    </xf>
    <xf numFmtId="164" fontId="8" fillId="0" borderId="23" xfId="0" applyNumberFormat="1" applyFont="1" applyFill="1" applyBorder="1" applyAlignment="1">
      <alignment horizontal="center"/>
    </xf>
    <xf numFmtId="164" fontId="7" fillId="0" borderId="4" xfId="0" applyNumberFormat="1" applyFont="1" applyFill="1" applyBorder="1"/>
    <xf numFmtId="164" fontId="10" fillId="0" borderId="4" xfId="0" applyNumberFormat="1" applyFont="1" applyFill="1" applyBorder="1"/>
    <xf numFmtId="164" fontId="7" fillId="0" borderId="3" xfId="0" applyNumberFormat="1" applyFont="1" applyFill="1" applyBorder="1"/>
    <xf numFmtId="164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left"/>
    </xf>
    <xf numFmtId="164" fontId="11" fillId="2" borderId="6" xfId="0" applyNumberFormat="1" applyFont="1" applyFill="1" applyBorder="1"/>
    <xf numFmtId="164" fontId="7" fillId="2" borderId="8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 applyProtection="1">
      <alignment horizontal="center"/>
      <protection locked="0"/>
    </xf>
    <xf numFmtId="164" fontId="7" fillId="2" borderId="19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7" fillId="2" borderId="25" xfId="0" applyNumberFormat="1" applyFont="1" applyFill="1" applyBorder="1"/>
    <xf numFmtId="164" fontId="11" fillId="2" borderId="25" xfId="0" applyNumberFormat="1" applyFont="1" applyFill="1" applyBorder="1"/>
    <xf numFmtId="164" fontId="7" fillId="2" borderId="26" xfId="0" applyNumberFormat="1" applyFont="1" applyFill="1" applyBorder="1"/>
    <xf numFmtId="164" fontId="8" fillId="2" borderId="1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 applyProtection="1">
      <alignment horizontal="center"/>
      <protection locked="0"/>
    </xf>
    <xf numFmtId="164" fontId="7" fillId="2" borderId="17" xfId="0" applyNumberFormat="1" applyFont="1" applyFill="1" applyBorder="1" applyAlignment="1" applyProtection="1">
      <alignment horizontal="center"/>
      <protection locked="0"/>
    </xf>
    <xf numFmtId="164" fontId="8" fillId="2" borderId="9" xfId="0" applyNumberFormat="1" applyFont="1" applyFill="1" applyBorder="1" applyAlignment="1">
      <alignment horizontal="center"/>
    </xf>
    <xf numFmtId="164" fontId="7" fillId="3" borderId="6" xfId="0" applyNumberFormat="1" applyFont="1" applyFill="1" applyBorder="1"/>
    <xf numFmtId="164" fontId="11" fillId="3" borderId="6" xfId="0" applyNumberFormat="1" applyFont="1" applyFill="1" applyBorder="1"/>
    <xf numFmtId="164" fontId="7" fillId="3" borderId="8" xfId="0" applyNumberFormat="1" applyFont="1" applyFill="1" applyBorder="1"/>
    <xf numFmtId="164" fontId="7" fillId="3" borderId="10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/>
    <xf numFmtId="164" fontId="11" fillId="3" borderId="27" xfId="0" applyNumberFormat="1" applyFont="1" applyFill="1" applyBorder="1"/>
    <xf numFmtId="164" fontId="7" fillId="3" borderId="2" xfId="0" applyNumberFormat="1" applyFont="1" applyFill="1" applyBorder="1"/>
    <xf numFmtId="164" fontId="7" fillId="3" borderId="25" xfId="0" applyNumberFormat="1" applyFont="1" applyFill="1" applyBorder="1"/>
    <xf numFmtId="164" fontId="4" fillId="3" borderId="25" xfId="0" applyNumberFormat="1" applyFont="1" applyFill="1" applyBorder="1"/>
    <xf numFmtId="164" fontId="7" fillId="3" borderId="26" xfId="0" applyNumberFormat="1" applyFont="1" applyFill="1" applyBorder="1"/>
    <xf numFmtId="164" fontId="4" fillId="3" borderId="27" xfId="0" applyNumberFormat="1" applyFont="1" applyFill="1" applyBorder="1"/>
    <xf numFmtId="164" fontId="4" fillId="3" borderId="4" xfId="0" applyNumberFormat="1" applyFont="1" applyFill="1" applyBorder="1" applyAlignment="1">
      <alignment horizontal="left" wrapText="1"/>
    </xf>
    <xf numFmtId="164" fontId="7" fillId="3" borderId="3" xfId="0" applyNumberFormat="1" applyFont="1" applyFill="1" applyBorder="1"/>
    <xf numFmtId="1" fontId="7" fillId="0" borderId="19" xfId="0" applyNumberFormat="1" applyFont="1" applyFill="1" applyBorder="1" applyAlignment="1">
      <alignment horizontal="left"/>
    </xf>
    <xf numFmtId="164" fontId="4" fillId="0" borderId="17" xfId="0" applyNumberFormat="1" applyFont="1" applyFill="1" applyBorder="1"/>
    <xf numFmtId="1" fontId="7" fillId="0" borderId="28" xfId="0" applyNumberFormat="1" applyFont="1" applyFill="1" applyBorder="1" applyAlignment="1">
      <alignment horizontal="left"/>
    </xf>
    <xf numFmtId="164" fontId="4" fillId="0" borderId="28" xfId="0" applyNumberFormat="1" applyFont="1" applyFill="1" applyBorder="1"/>
    <xf numFmtId="164" fontId="7" fillId="0" borderId="29" xfId="0" applyNumberFormat="1" applyFont="1" applyFill="1" applyBorder="1"/>
    <xf numFmtId="164" fontId="7" fillId="0" borderId="8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left"/>
    </xf>
    <xf numFmtId="164" fontId="10" fillId="0" borderId="30" xfId="0" applyNumberFormat="1" applyFont="1" applyFill="1" applyBorder="1"/>
    <xf numFmtId="164" fontId="7" fillId="0" borderId="31" xfId="0" applyNumberFormat="1" applyFont="1" applyFill="1" applyBorder="1"/>
    <xf numFmtId="164" fontId="7" fillId="0" borderId="31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left"/>
    </xf>
    <xf numFmtId="164" fontId="4" fillId="0" borderId="6" xfId="0" applyNumberFormat="1" applyFont="1" applyFill="1" applyBorder="1"/>
    <xf numFmtId="164" fontId="7" fillId="0" borderId="8" xfId="0" applyNumberFormat="1" applyFont="1" applyFill="1" applyBorder="1"/>
    <xf numFmtId="164" fontId="8" fillId="0" borderId="32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left"/>
    </xf>
    <xf numFmtId="164" fontId="4" fillId="0" borderId="28" xfId="0" applyNumberFormat="1" applyFont="1" applyFill="1" applyBorder="1" applyAlignment="1">
      <alignment horizontal="left" vertical="center" wrapText="1"/>
    </xf>
    <xf numFmtId="164" fontId="7" fillId="0" borderId="29" xfId="0" applyNumberFormat="1" applyFont="1" applyFill="1" applyBorder="1" applyAlignment="1" applyProtection="1">
      <alignment horizontal="center"/>
      <protection locked="0"/>
    </xf>
    <xf numFmtId="164" fontId="7" fillId="0" borderId="28" xfId="0" applyNumberFormat="1" applyFont="1" applyFill="1" applyBorder="1" applyAlignment="1" applyProtection="1">
      <alignment horizontal="center"/>
      <protection locked="0"/>
    </xf>
    <xf numFmtId="166" fontId="7" fillId="0" borderId="10" xfId="0" applyNumberFormat="1" applyFont="1" applyFill="1" applyBorder="1" applyAlignment="1" applyProtection="1">
      <alignment horizontal="center"/>
      <protection locked="0"/>
    </xf>
    <xf numFmtId="164" fontId="8" fillId="0" borderId="3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left"/>
    </xf>
    <xf numFmtId="164" fontId="7" fillId="0" borderId="26" xfId="0" applyNumberFormat="1" applyFont="1" applyFill="1" applyBorder="1"/>
    <xf numFmtId="164" fontId="7" fillId="0" borderId="31" xfId="0" applyNumberFormat="1" applyFont="1" applyFill="1" applyBorder="1" applyAlignment="1" applyProtection="1">
      <alignment horizontal="center"/>
      <protection locked="0"/>
    </xf>
    <xf numFmtId="164" fontId="7" fillId="0" borderId="30" xfId="0" applyNumberFormat="1" applyFont="1" applyFill="1" applyBorder="1" applyAlignment="1" applyProtection="1">
      <alignment horizontal="center"/>
      <protection locked="0"/>
    </xf>
    <xf numFmtId="164" fontId="8" fillId="0" borderId="34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left"/>
    </xf>
    <xf numFmtId="164" fontId="8" fillId="0" borderId="36" xfId="0" applyNumberFormat="1" applyFont="1" applyFill="1" applyBorder="1" applyAlignment="1">
      <alignment horizontal="center"/>
    </xf>
    <xf numFmtId="164" fontId="7" fillId="0" borderId="30" xfId="0" applyNumberFormat="1" applyFont="1" applyFill="1" applyBorder="1"/>
    <xf numFmtId="1" fontId="7" fillId="0" borderId="21" xfId="0" applyNumberFormat="1" applyFont="1" applyFill="1" applyBorder="1" applyAlignment="1">
      <alignment horizontal="left"/>
    </xf>
    <xf numFmtId="164" fontId="4" fillId="0" borderId="21" xfId="0" applyNumberFormat="1" applyFont="1" applyFill="1" applyBorder="1"/>
    <xf numFmtId="1" fontId="7" fillId="0" borderId="30" xfId="0" applyNumberFormat="1" applyFont="1" applyFill="1" applyBorder="1" applyAlignment="1">
      <alignment horizontal="left"/>
    </xf>
    <xf numFmtId="1" fontId="7" fillId="0" borderId="29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164" fontId="4" fillId="0" borderId="23" xfId="0" applyNumberFormat="1" applyFont="1" applyFill="1" applyBorder="1"/>
    <xf numFmtId="1" fontId="7" fillId="0" borderId="37" xfId="0" applyNumberFormat="1" applyFont="1" applyFill="1" applyBorder="1" applyAlignment="1">
      <alignment horizontal="left"/>
    </xf>
    <xf numFmtId="164" fontId="4" fillId="0" borderId="38" xfId="0" applyNumberFormat="1" applyFont="1" applyFill="1" applyBorder="1"/>
    <xf numFmtId="164" fontId="8" fillId="0" borderId="39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 applyProtection="1">
      <alignment horizontal="center"/>
      <protection locked="0"/>
    </xf>
    <xf numFmtId="164" fontId="7" fillId="0" borderId="38" xfId="0" applyNumberFormat="1" applyFont="1" applyFill="1" applyBorder="1" applyAlignment="1" applyProtection="1">
      <alignment horizontal="center"/>
      <protection locked="0"/>
    </xf>
    <xf numFmtId="164" fontId="8" fillId="0" borderId="40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left"/>
    </xf>
    <xf numFmtId="164" fontId="4" fillId="0" borderId="43" xfId="0" applyNumberFormat="1" applyFont="1" applyFill="1" applyBorder="1"/>
    <xf numFmtId="164" fontId="8" fillId="0" borderId="44" xfId="0" applyNumberFormat="1" applyFont="1" applyFill="1" applyBorder="1" applyAlignment="1">
      <alignment horizontal="center"/>
    </xf>
    <xf numFmtId="164" fontId="7" fillId="0" borderId="44" xfId="0" applyNumberFormat="1" applyFont="1" applyFill="1" applyBorder="1" applyAlignment="1" applyProtection="1">
      <alignment horizontal="center"/>
      <protection locked="0"/>
    </xf>
    <xf numFmtId="164" fontId="7" fillId="0" borderId="43" xfId="0" applyNumberFormat="1" applyFont="1" applyFill="1" applyBorder="1" applyAlignment="1" applyProtection="1">
      <alignment horizontal="center"/>
      <protection locked="0"/>
    </xf>
    <xf numFmtId="164" fontId="7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/>
    <xf numFmtId="164" fontId="7" fillId="4" borderId="46" xfId="0" applyNumberFormat="1" applyFont="1" applyFill="1" applyBorder="1"/>
    <xf numFmtId="164" fontId="4" fillId="4" borderId="47" xfId="0" applyNumberFormat="1" applyFont="1" applyFill="1" applyBorder="1"/>
    <xf numFmtId="164" fontId="7" fillId="4" borderId="48" xfId="0" applyNumberFormat="1" applyFont="1" applyFill="1" applyBorder="1"/>
    <xf numFmtId="164" fontId="8" fillId="4" borderId="47" xfId="0" applyNumberFormat="1" applyFont="1" applyFill="1" applyBorder="1" applyAlignment="1">
      <alignment horizontal="center"/>
    </xf>
    <xf numFmtId="164" fontId="8" fillId="4" borderId="46" xfId="0" applyNumberFormat="1" applyFont="1" applyFill="1" applyBorder="1" applyAlignment="1">
      <alignment horizontal="center"/>
    </xf>
    <xf numFmtId="164" fontId="8" fillId="4" borderId="55" xfId="0" applyNumberFormat="1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164" fontId="4" fillId="0" borderId="15" xfId="0" applyNumberFormat="1" applyFont="1" applyFill="1" applyBorder="1"/>
    <xf numFmtId="164" fontId="7" fillId="0" borderId="16" xfId="0" applyNumberFormat="1" applyFont="1" applyFill="1" applyBorder="1"/>
    <xf numFmtId="164" fontId="7" fillId="0" borderId="18" xfId="0" applyNumberFormat="1" applyFont="1" applyFill="1" applyBorder="1"/>
    <xf numFmtId="49" fontId="7" fillId="0" borderId="19" xfId="0" applyNumberFormat="1" applyFont="1" applyFill="1" applyBorder="1"/>
    <xf numFmtId="164" fontId="10" fillId="0" borderId="10" xfId="0" applyNumberFormat="1" applyFont="1" applyFill="1" applyBorder="1"/>
    <xf numFmtId="0" fontId="5" fillId="0" borderId="20" xfId="0" applyFont="1" applyBorder="1" applyAlignment="1">
      <alignment horizontal="center"/>
    </xf>
    <xf numFmtId="164" fontId="10" fillId="0" borderId="31" xfId="0" applyNumberFormat="1" applyFont="1" applyFill="1" applyBorder="1"/>
    <xf numFmtId="164" fontId="7" fillId="0" borderId="34" xfId="0" applyNumberFormat="1" applyFont="1" applyFill="1" applyBorder="1"/>
    <xf numFmtId="164" fontId="4" fillId="0" borderId="29" xfId="0" applyNumberFormat="1" applyFont="1" applyFill="1" applyBorder="1"/>
    <xf numFmtId="164" fontId="7" fillId="0" borderId="35" xfId="0" applyNumberFormat="1" applyFont="1" applyFill="1" applyBorder="1"/>
    <xf numFmtId="164" fontId="7" fillId="0" borderId="36" xfId="0" applyNumberFormat="1" applyFont="1" applyFill="1" applyBorder="1"/>
    <xf numFmtId="164" fontId="7" fillId="0" borderId="28" xfId="0" applyNumberFormat="1" applyFont="1" applyFill="1" applyBorder="1"/>
    <xf numFmtId="2" fontId="7" fillId="0" borderId="30" xfId="0" applyNumberFormat="1" applyFont="1" applyFill="1" applyBorder="1"/>
    <xf numFmtId="164" fontId="4" fillId="0" borderId="31" xfId="0" applyNumberFormat="1" applyFont="1" applyFill="1" applyBorder="1"/>
    <xf numFmtId="164" fontId="7" fillId="4" borderId="47" xfId="0" applyNumberFormat="1" applyFont="1" applyFill="1" applyBorder="1"/>
    <xf numFmtId="164" fontId="8" fillId="4" borderId="49" xfId="0" applyNumberFormat="1" applyFont="1" applyFill="1" applyBorder="1" applyAlignment="1">
      <alignment horizontal="center"/>
    </xf>
    <xf numFmtId="164" fontId="15" fillId="0" borderId="10" xfId="2" applyNumberFormat="1" applyFont="1" applyFill="1" applyBorder="1" applyAlignment="1" applyProtection="1">
      <alignment horizontal="center"/>
      <protection locked="0"/>
    </xf>
    <xf numFmtId="164" fontId="7" fillId="0" borderId="10" xfId="2" applyNumberFormat="1" applyFont="1" applyFill="1" applyBorder="1" applyAlignment="1" applyProtection="1">
      <alignment horizontal="center"/>
      <protection locked="0"/>
    </xf>
    <xf numFmtId="1" fontId="7" fillId="0" borderId="31" xfId="0" applyNumberFormat="1" applyFont="1" applyFill="1" applyBorder="1"/>
    <xf numFmtId="164" fontId="4" fillId="0" borderId="36" xfId="0" applyNumberFormat="1" applyFont="1" applyFill="1" applyBorder="1"/>
    <xf numFmtId="164" fontId="7" fillId="0" borderId="14" xfId="0" applyNumberFormat="1" applyFont="1" applyFill="1" applyBorder="1"/>
    <xf numFmtId="1" fontId="7" fillId="0" borderId="25" xfId="0" applyNumberFormat="1" applyFont="1" applyFill="1" applyBorder="1"/>
    <xf numFmtId="164" fontId="7" fillId="0" borderId="50" xfId="0" applyNumberFormat="1" applyFont="1" applyFill="1" applyBorder="1"/>
    <xf numFmtId="164" fontId="7" fillId="4" borderId="47" xfId="0" applyNumberFormat="1" applyFont="1" applyFill="1" applyBorder="1" applyAlignment="1">
      <alignment vertical="center"/>
    </xf>
    <xf numFmtId="164" fontId="4" fillId="4" borderId="47" xfId="0" applyNumberFormat="1" applyFont="1" applyFill="1" applyBorder="1" applyAlignment="1">
      <alignment wrapText="1"/>
    </xf>
    <xf numFmtId="164" fontId="8" fillId="4" borderId="47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/>
    <xf numFmtId="164" fontId="7" fillId="0" borderId="24" xfId="0" applyNumberFormat="1" applyFont="1" applyFill="1" applyBorder="1"/>
    <xf numFmtId="164" fontId="7" fillId="0" borderId="3" xfId="0" applyNumberFormat="1" applyFont="1" applyFill="1" applyBorder="1" applyAlignment="1">
      <alignment horizontal="center"/>
    </xf>
    <xf numFmtId="164" fontId="7" fillId="4" borderId="3" xfId="0" applyNumberFormat="1" applyFont="1" applyFill="1" applyBorder="1"/>
    <xf numFmtId="164" fontId="4" fillId="4" borderId="3" xfId="0" applyNumberFormat="1" applyFont="1" applyFill="1" applyBorder="1"/>
    <xf numFmtId="164" fontId="8" fillId="4" borderId="10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 applyProtection="1">
      <alignment horizontal="center"/>
      <protection locked="0"/>
    </xf>
    <xf numFmtId="164" fontId="7" fillId="4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7" fillId="0" borderId="51" xfId="0" applyNumberFormat="1" applyFont="1" applyFill="1" applyBorder="1" applyAlignment="1">
      <alignment horizontal="left"/>
    </xf>
    <xf numFmtId="164" fontId="4" fillId="0" borderId="49" xfId="0" applyNumberFormat="1" applyFont="1" applyFill="1" applyBorder="1"/>
    <xf numFmtId="164" fontId="7" fillId="0" borderId="49" xfId="0" applyNumberFormat="1" applyFont="1" applyFill="1" applyBorder="1"/>
    <xf numFmtId="164" fontId="8" fillId="0" borderId="49" xfId="0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 applyProtection="1"/>
    <xf numFmtId="164" fontId="7" fillId="0" borderId="0" xfId="0" applyNumberFormat="1" applyFont="1" applyFill="1"/>
    <xf numFmtId="164" fontId="8" fillId="0" borderId="35" xfId="0" applyNumberFormat="1" applyFont="1" applyFill="1" applyBorder="1"/>
    <xf numFmtId="164" fontId="7" fillId="0" borderId="33" xfId="0" applyNumberFormat="1" applyFont="1" applyFill="1" applyBorder="1"/>
    <xf numFmtId="164" fontId="8" fillId="0" borderId="23" xfId="0" applyNumberFormat="1" applyFont="1" applyFill="1" applyBorder="1"/>
    <xf numFmtId="164" fontId="7" fillId="0" borderId="0" xfId="0" applyNumberFormat="1" applyFont="1" applyFill="1" applyBorder="1"/>
    <xf numFmtId="164" fontId="7" fillId="0" borderId="7" xfId="0" applyNumberFormat="1" applyFont="1" applyFill="1" applyBorder="1"/>
    <xf numFmtId="164" fontId="8" fillId="0" borderId="7" xfId="0" applyNumberFormat="1" applyFont="1" applyFill="1" applyBorder="1" applyAlignment="1">
      <alignment horizontal="center"/>
    </xf>
    <xf numFmtId="164" fontId="8" fillId="0" borderId="14" xfId="0" applyNumberFormat="1" applyFont="1" applyFill="1" applyBorder="1"/>
    <xf numFmtId="164" fontId="7" fillId="0" borderId="15" xfId="0" applyNumberFormat="1" applyFont="1" applyFill="1" applyBorder="1" applyAlignment="1">
      <alignment horizontal="center"/>
    </xf>
    <xf numFmtId="164" fontId="8" fillId="0" borderId="36" xfId="0" applyNumberFormat="1" applyFont="1" applyFill="1" applyBorder="1"/>
    <xf numFmtId="164" fontId="7" fillId="0" borderId="26" xfId="0" applyNumberFormat="1" applyFont="1" applyFill="1" applyBorder="1" applyAlignment="1">
      <alignment horizontal="center"/>
    </xf>
    <xf numFmtId="164" fontId="8" fillId="0" borderId="52" xfId="0" applyNumberFormat="1" applyFont="1" applyFill="1" applyBorder="1" applyAlignment="1">
      <alignment horizontal="center"/>
    </xf>
    <xf numFmtId="164" fontId="7" fillId="0" borderId="52" xfId="0" applyNumberFormat="1" applyFont="1" applyFill="1" applyBorder="1"/>
    <xf numFmtId="164" fontId="8" fillId="0" borderId="0" xfId="0" applyNumberFormat="1" applyFont="1" applyFill="1" applyBorder="1"/>
    <xf numFmtId="164" fontId="7" fillId="0" borderId="15" xfId="0" applyNumberFormat="1" applyFont="1" applyFill="1" applyBorder="1" applyAlignment="1">
      <alignment horizontal="left"/>
    </xf>
    <xf numFmtId="164" fontId="10" fillId="0" borderId="36" xfId="0" applyNumberFormat="1" applyFont="1" applyFill="1" applyBorder="1"/>
    <xf numFmtId="164" fontId="7" fillId="0" borderId="29" xfId="0" applyNumberFormat="1" applyFont="1" applyFill="1" applyBorder="1" applyAlignment="1">
      <alignment horizontal="left"/>
    </xf>
    <xf numFmtId="164" fontId="8" fillId="0" borderId="31" xfId="0" applyNumberFormat="1" applyFont="1" applyFill="1" applyBorder="1"/>
    <xf numFmtId="164" fontId="7" fillId="0" borderId="28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/>
    <xf numFmtId="164" fontId="7" fillId="0" borderId="19" xfId="0" applyNumberFormat="1" applyFont="1" applyFill="1" applyBorder="1" applyAlignment="1">
      <alignment horizontal="center"/>
    </xf>
    <xf numFmtId="164" fontId="7" fillId="0" borderId="2" xfId="0" applyNumberFormat="1" applyFont="1" applyFill="1" applyBorder="1"/>
    <xf numFmtId="164" fontId="4" fillId="0" borderId="53" xfId="0" applyNumberFormat="1" applyFont="1" applyFill="1" applyBorder="1"/>
    <xf numFmtId="164" fontId="4" fillId="0" borderId="24" xfId="0" applyNumberFormat="1" applyFont="1" applyFill="1" applyBorder="1"/>
    <xf numFmtId="164" fontId="7" fillId="0" borderId="4" xfId="0" applyNumberFormat="1" applyFont="1" applyFill="1" applyBorder="1" applyAlignment="1">
      <alignment horizontal="center"/>
    </xf>
    <xf numFmtId="164" fontId="8" fillId="0" borderId="54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/>
    <xf numFmtId="164" fontId="10" fillId="0" borderId="23" xfId="0" applyNumberFormat="1" applyFont="1" applyFill="1" applyBorder="1"/>
    <xf numFmtId="164" fontId="7" fillId="0" borderId="21" xfId="0" applyNumberFormat="1" applyFont="1" applyFill="1" applyBorder="1" applyAlignment="1">
      <alignment horizontal="center"/>
    </xf>
    <xf numFmtId="164" fontId="8" fillId="0" borderId="29" xfId="0" applyNumberFormat="1" applyFont="1" applyFill="1" applyBorder="1"/>
    <xf numFmtId="0" fontId="7" fillId="0" borderId="0" xfId="0" applyFont="1" applyFill="1" applyBorder="1"/>
    <xf numFmtId="0" fontId="7" fillId="0" borderId="50" xfId="0" applyFont="1" applyFill="1" applyBorder="1"/>
    <xf numFmtId="164" fontId="7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/>
    <xf numFmtId="2" fontId="7" fillId="0" borderId="20" xfId="0" applyNumberFormat="1" applyFont="1" applyFill="1" applyBorder="1" applyAlignment="1" applyProtection="1">
      <alignment horizontal="center"/>
      <protection locked="0"/>
    </xf>
    <xf numFmtId="164" fontId="5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67" fontId="7" fillId="0" borderId="2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49" fontId="16" fillId="0" borderId="0" xfId="0" applyNumberFormat="1" applyFont="1"/>
    <xf numFmtId="49" fontId="16" fillId="0" borderId="56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168" fontId="20" fillId="0" borderId="56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21" fillId="0" borderId="60" xfId="0" applyFont="1" applyBorder="1" applyAlignment="1">
      <alignment vertical="center" wrapText="1"/>
    </xf>
    <xf numFmtId="0" fontId="21" fillId="0" borderId="60" xfId="0" applyFont="1" applyFill="1" applyBorder="1" applyAlignment="1">
      <alignment vertical="center" wrapText="1"/>
    </xf>
    <xf numFmtId="168" fontId="21" fillId="0" borderId="60" xfId="0" applyNumberFormat="1" applyFont="1" applyFill="1" applyBorder="1" applyAlignment="1">
      <alignment vertical="center" wrapText="1"/>
    </xf>
    <xf numFmtId="0" fontId="22" fillId="5" borderId="62" xfId="0" applyFont="1" applyFill="1" applyBorder="1" applyAlignment="1">
      <alignment horizontal="center" vertical="center"/>
    </xf>
    <xf numFmtId="0" fontId="23" fillId="5" borderId="63" xfId="0" applyFont="1" applyFill="1" applyBorder="1" applyAlignment="1">
      <alignment horizontal="left" vertical="center"/>
    </xf>
    <xf numFmtId="0" fontId="22" fillId="5" borderId="63" xfId="0" applyFont="1" applyFill="1" applyBorder="1" applyAlignment="1">
      <alignment horizontal="center"/>
    </xf>
    <xf numFmtId="0" fontId="24" fillId="5" borderId="63" xfId="0" applyFont="1" applyFill="1" applyBorder="1" applyAlignment="1">
      <alignment horizontal="center" vertical="center" wrapText="1"/>
    </xf>
    <xf numFmtId="0" fontId="22" fillId="6" borderId="65" xfId="0" applyFont="1" applyFill="1" applyBorder="1" applyAlignment="1">
      <alignment horizontal="center" wrapText="1"/>
    </xf>
    <xf numFmtId="0" fontId="24" fillId="6" borderId="65" xfId="0" applyFont="1" applyFill="1" applyBorder="1" applyAlignment="1">
      <alignment horizontal="center" vertical="center" wrapText="1"/>
    </xf>
    <xf numFmtId="0" fontId="16" fillId="6" borderId="0" xfId="0" applyFont="1" applyFill="1"/>
    <xf numFmtId="0" fontId="22" fillId="7" borderId="20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/>
    </xf>
    <xf numFmtId="0" fontId="16" fillId="0" borderId="0" xfId="0" applyFont="1" applyFill="1"/>
    <xf numFmtId="0" fontId="22" fillId="7" borderId="2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/>
    </xf>
    <xf numFmtId="49" fontId="22" fillId="0" borderId="66" xfId="0" applyNumberFormat="1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left" vertical="center"/>
    </xf>
    <xf numFmtId="0" fontId="22" fillId="0" borderId="69" xfId="0" applyFont="1" applyFill="1" applyBorder="1" applyAlignment="1">
      <alignment horizontal="center"/>
    </xf>
    <xf numFmtId="0" fontId="24" fillId="6" borderId="69" xfId="0" applyFont="1" applyFill="1" applyBorder="1" applyAlignment="1">
      <alignment horizontal="center"/>
    </xf>
    <xf numFmtId="0" fontId="25" fillId="0" borderId="65" xfId="0" applyFont="1" applyFill="1" applyBorder="1" applyAlignment="1">
      <alignment horizontal="center" wrapText="1"/>
    </xf>
    <xf numFmtId="0" fontId="23" fillId="6" borderId="65" xfId="0" applyFont="1" applyFill="1" applyBorder="1" applyAlignment="1">
      <alignment horizontal="center"/>
    </xf>
    <xf numFmtId="0" fontId="25" fillId="7" borderId="20" xfId="0" applyFont="1" applyFill="1" applyBorder="1" applyAlignment="1">
      <alignment horizontal="center"/>
    </xf>
    <xf numFmtId="49" fontId="25" fillId="0" borderId="71" xfId="0" applyNumberFormat="1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/>
    </xf>
    <xf numFmtId="0" fontId="22" fillId="0" borderId="72" xfId="0" applyFont="1" applyFill="1" applyBorder="1" applyAlignment="1">
      <alignment horizontal="center"/>
    </xf>
    <xf numFmtId="0" fontId="24" fillId="6" borderId="72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  <xf numFmtId="0" fontId="24" fillId="6" borderId="73" xfId="0" applyFont="1" applyFill="1" applyBorder="1" applyAlignment="1">
      <alignment horizontal="center"/>
    </xf>
    <xf numFmtId="0" fontId="23" fillId="6" borderId="73" xfId="0" applyFont="1" applyFill="1" applyBorder="1" applyAlignment="1">
      <alignment horizontal="center"/>
    </xf>
    <xf numFmtId="0" fontId="22" fillId="0" borderId="75" xfId="0" applyFont="1" applyFill="1" applyBorder="1" applyAlignment="1">
      <alignment horizontal="center"/>
    </xf>
    <xf numFmtId="0" fontId="24" fillId="6" borderId="75" xfId="0" applyFont="1" applyFill="1" applyBorder="1" applyAlignment="1">
      <alignment horizontal="center"/>
    </xf>
    <xf numFmtId="0" fontId="23" fillId="6" borderId="75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4" fillId="6" borderId="65" xfId="0" applyFont="1" applyFill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49" fontId="22" fillId="2" borderId="62" xfId="0" applyNumberFormat="1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left" vertical="center"/>
    </xf>
    <xf numFmtId="0" fontId="22" fillId="2" borderId="63" xfId="0" applyFont="1" applyFill="1" applyBorder="1" applyAlignment="1">
      <alignment horizontal="center"/>
    </xf>
    <xf numFmtId="0" fontId="24" fillId="2" borderId="63" xfId="0" applyFont="1" applyFill="1" applyBorder="1" applyAlignment="1">
      <alignment horizontal="center"/>
    </xf>
    <xf numFmtId="0" fontId="22" fillId="7" borderId="65" xfId="0" applyFont="1" applyFill="1" applyBorder="1" applyAlignment="1">
      <alignment horizontal="center"/>
    </xf>
    <xf numFmtId="0" fontId="24" fillId="7" borderId="65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24" fillId="6" borderId="72" xfId="0" applyFont="1" applyFill="1" applyBorder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left" vertical="center"/>
    </xf>
    <xf numFmtId="0" fontId="22" fillId="2" borderId="69" xfId="0" applyFont="1" applyFill="1" applyBorder="1" applyAlignment="1">
      <alignment horizontal="center"/>
    </xf>
    <xf numFmtId="0" fontId="24" fillId="2" borderId="69" xfId="0" applyFont="1" applyFill="1" applyBorder="1"/>
    <xf numFmtId="0" fontId="24" fillId="6" borderId="65" xfId="0" applyFont="1" applyFill="1" applyBorder="1"/>
    <xf numFmtId="0" fontId="24" fillId="6" borderId="72" xfId="0" applyFont="1" applyFill="1" applyBorder="1"/>
    <xf numFmtId="2" fontId="22" fillId="0" borderId="73" xfId="0" applyNumberFormat="1" applyFont="1" applyBorder="1" applyAlignment="1">
      <alignment horizontal="center"/>
    </xf>
    <xf numFmtId="0" fontId="24" fillId="6" borderId="73" xfId="0" applyFont="1" applyFill="1" applyBorder="1"/>
    <xf numFmtId="0" fontId="22" fillId="0" borderId="75" xfId="0" applyFont="1" applyBorder="1" applyAlignment="1">
      <alignment horizontal="center"/>
    </xf>
    <xf numFmtId="0" fontId="24" fillId="6" borderId="75" xfId="0" applyFont="1" applyFill="1" applyBorder="1"/>
    <xf numFmtId="0" fontId="23" fillId="2" borderId="69" xfId="0" applyFont="1" applyFill="1" applyBorder="1" applyAlignment="1">
      <alignment horizontal="left" vertical="center" wrapText="1"/>
    </xf>
    <xf numFmtId="0" fontId="22" fillId="2" borderId="69" xfId="0" applyFont="1" applyFill="1" applyBorder="1" applyAlignment="1">
      <alignment horizontal="center" vertical="center"/>
    </xf>
    <xf numFmtId="49" fontId="22" fillId="0" borderId="62" xfId="0" applyNumberFormat="1" applyFont="1" applyBorder="1" applyAlignment="1">
      <alignment horizontal="center" vertical="center"/>
    </xf>
    <xf numFmtId="0" fontId="24" fillId="0" borderId="63" xfId="0" applyFont="1" applyFill="1" applyBorder="1" applyAlignment="1">
      <alignment horizontal="left" vertical="center"/>
    </xf>
    <xf numFmtId="0" fontId="22" fillId="0" borderId="63" xfId="0" applyFont="1" applyBorder="1" applyAlignment="1">
      <alignment horizontal="center"/>
    </xf>
    <xf numFmtId="0" fontId="24" fillId="6" borderId="63" xfId="0" applyFont="1" applyFill="1" applyBorder="1"/>
    <xf numFmtId="0" fontId="24" fillId="2" borderId="63" xfId="0" applyFont="1" applyFill="1" applyBorder="1" applyAlignment="1">
      <alignment horizontal="left" vertical="center"/>
    </xf>
    <xf numFmtId="0" fontId="24" fillId="2" borderId="63" xfId="0" applyFont="1" applyFill="1" applyBorder="1"/>
    <xf numFmtId="0" fontId="22" fillId="2" borderId="76" xfId="0" applyFont="1" applyFill="1" applyBorder="1" applyAlignment="1">
      <alignment horizontal="center" vertical="center"/>
    </xf>
    <xf numFmtId="0" fontId="23" fillId="2" borderId="77" xfId="0" applyFont="1" applyFill="1" applyBorder="1" applyAlignment="1">
      <alignment horizontal="left" vertical="center"/>
    </xf>
    <xf numFmtId="0" fontId="22" fillId="2" borderId="77" xfId="0" applyFont="1" applyFill="1" applyBorder="1" applyAlignment="1">
      <alignment horizontal="center"/>
    </xf>
    <xf numFmtId="0" fontId="24" fillId="2" borderId="77" xfId="0" applyFont="1" applyFill="1" applyBorder="1"/>
    <xf numFmtId="49" fontId="2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/>
    <xf numFmtId="0" fontId="22" fillId="0" borderId="0" xfId="0" applyFont="1" applyFill="1" applyBorder="1"/>
    <xf numFmtId="0" fontId="22" fillId="0" borderId="0" xfId="0" applyFont="1"/>
    <xf numFmtId="0" fontId="24" fillId="0" borderId="0" xfId="0" applyFont="1"/>
    <xf numFmtId="0" fontId="26" fillId="0" borderId="0" xfId="0" applyFont="1"/>
    <xf numFmtId="0" fontId="16" fillId="0" borderId="0" xfId="0" applyFont="1" applyBorder="1"/>
    <xf numFmtId="0" fontId="16" fillId="0" borderId="81" xfId="0" applyFont="1" applyBorder="1"/>
    <xf numFmtId="0" fontId="2" fillId="0" borderId="0" xfId="0" applyFont="1"/>
    <xf numFmtId="0" fontId="19" fillId="0" borderId="0" xfId="0" applyFo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64" fontId="7" fillId="7" borderId="20" xfId="0" applyNumberFormat="1" applyFont="1" applyFill="1" applyBorder="1" applyAlignment="1" applyProtection="1">
      <alignment horizontal="center"/>
      <protection locked="0"/>
    </xf>
    <xf numFmtId="164" fontId="7" fillId="8" borderId="1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applyFont="1" applyFill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wrapText="1"/>
    </xf>
    <xf numFmtId="164" fontId="6" fillId="2" borderId="20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left" vertical="center"/>
    </xf>
    <xf numFmtId="164" fontId="9" fillId="2" borderId="20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18" fillId="2" borderId="20" xfId="0" applyNumberFormat="1" applyFont="1" applyFill="1" applyBorder="1" applyAlignment="1">
      <alignment horizontal="center" vertical="center" wrapText="1"/>
    </xf>
    <xf numFmtId="165" fontId="27" fillId="2" borderId="20" xfId="1" applyNumberFormat="1" applyFont="1" applyFill="1" applyBorder="1" applyAlignment="1">
      <alignment horizontal="center"/>
    </xf>
    <xf numFmtId="0" fontId="27" fillId="2" borderId="0" xfId="0" applyFont="1" applyFill="1"/>
    <xf numFmtId="0" fontId="6" fillId="2" borderId="0" xfId="0" applyFont="1" applyFill="1"/>
    <xf numFmtId="164" fontId="9" fillId="0" borderId="20" xfId="0" applyNumberFormat="1" applyFont="1" applyFill="1" applyBorder="1"/>
    <xf numFmtId="164" fontId="6" fillId="0" borderId="20" xfId="0" applyNumberFormat="1" applyFont="1" applyFill="1" applyBorder="1" applyAlignment="1">
      <alignment horizontal="left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/>
    <xf numFmtId="164" fontId="9" fillId="0" borderId="20" xfId="0" applyNumberFormat="1" applyFont="1" applyFill="1" applyBorder="1" applyAlignment="1">
      <alignment horizontal="center"/>
    </xf>
    <xf numFmtId="167" fontId="18" fillId="2" borderId="2" xfId="0" applyNumberFormat="1" applyFont="1" applyFill="1" applyBorder="1" applyAlignment="1">
      <alignment horizontal="center" vertical="center" wrapText="1"/>
    </xf>
    <xf numFmtId="167" fontId="18" fillId="2" borderId="20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left"/>
    </xf>
    <xf numFmtId="164" fontId="9" fillId="2" borderId="20" xfId="0" applyNumberFormat="1" applyFont="1" applyFill="1" applyBorder="1"/>
    <xf numFmtId="164" fontId="6" fillId="2" borderId="20" xfId="0" applyNumberFormat="1" applyFont="1" applyFill="1" applyBorder="1"/>
    <xf numFmtId="164" fontId="9" fillId="2" borderId="20" xfId="0" applyNumberFormat="1" applyFont="1" applyFill="1" applyBorder="1" applyAlignment="1">
      <alignment horizontal="center"/>
    </xf>
    <xf numFmtId="164" fontId="6" fillId="3" borderId="20" xfId="0" applyNumberFormat="1" applyFont="1" applyFill="1" applyBorder="1"/>
    <xf numFmtId="164" fontId="9" fillId="3" borderId="20" xfId="0" applyNumberFormat="1" applyFont="1" applyFill="1" applyBorder="1"/>
    <xf numFmtId="164" fontId="9" fillId="3" borderId="20" xfId="0" applyNumberFormat="1" applyFont="1" applyFill="1" applyBorder="1" applyAlignment="1">
      <alignment horizontal="left" wrapText="1"/>
    </xf>
    <xf numFmtId="1" fontId="6" fillId="0" borderId="20" xfId="0" applyNumberFormat="1" applyFont="1" applyFill="1" applyBorder="1" applyAlignment="1">
      <alignment horizontal="left"/>
    </xf>
    <xf numFmtId="164" fontId="6" fillId="0" borderId="20" xfId="0" applyNumberFormat="1" applyFont="1" applyFill="1" applyBorder="1" applyAlignment="1">
      <alignment horizontal="left"/>
    </xf>
    <xf numFmtId="2" fontId="18" fillId="2" borderId="2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center"/>
    </xf>
    <xf numFmtId="164" fontId="28" fillId="0" borderId="20" xfId="0" applyNumberFormat="1" applyFont="1" applyFill="1" applyBorder="1"/>
    <xf numFmtId="164" fontId="6" fillId="4" borderId="20" xfId="0" applyNumberFormat="1" applyFont="1" applyFill="1" applyBorder="1"/>
    <xf numFmtId="164" fontId="9" fillId="4" borderId="20" xfId="0" applyNumberFormat="1" applyFont="1" applyFill="1" applyBorder="1"/>
    <xf numFmtId="164" fontId="9" fillId="4" borderId="20" xfId="0" applyNumberFormat="1" applyFont="1" applyFill="1" applyBorder="1" applyAlignment="1">
      <alignment horizontal="center"/>
    </xf>
    <xf numFmtId="0" fontId="6" fillId="4" borderId="0" xfId="0" applyFont="1" applyFill="1"/>
    <xf numFmtId="49" fontId="6" fillId="0" borderId="20" xfId="0" applyNumberFormat="1" applyFont="1" applyFill="1" applyBorder="1"/>
    <xf numFmtId="2" fontId="6" fillId="0" borderId="20" xfId="0" applyNumberFormat="1" applyFont="1" applyFill="1" applyBorder="1"/>
    <xf numFmtId="0" fontId="27" fillId="4" borderId="0" xfId="0" applyFont="1" applyFill="1"/>
    <xf numFmtId="1" fontId="6" fillId="0" borderId="20" xfId="0" applyNumberFormat="1" applyFont="1" applyFill="1" applyBorder="1"/>
    <xf numFmtId="164" fontId="6" fillId="4" borderId="20" xfId="0" applyNumberFormat="1" applyFont="1" applyFill="1" applyBorder="1" applyAlignment="1">
      <alignment vertical="center"/>
    </xf>
    <xf numFmtId="164" fontId="9" fillId="4" borderId="20" xfId="0" applyNumberFormat="1" applyFont="1" applyFill="1" applyBorder="1" applyAlignment="1">
      <alignment wrapText="1"/>
    </xf>
    <xf numFmtId="164" fontId="9" fillId="4" borderId="2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/>
    <xf numFmtId="164" fontId="29" fillId="0" borderId="0" xfId="0" applyNumberFormat="1" applyFont="1" applyFill="1" applyBorder="1" applyAlignment="1">
      <alignment horizontal="left"/>
    </xf>
    <xf numFmtId="164" fontId="29" fillId="0" borderId="0" xfId="0" applyNumberFormat="1" applyFont="1" applyFill="1" applyBorder="1"/>
    <xf numFmtId="0" fontId="29" fillId="0" borderId="0" xfId="0" applyFont="1" applyFill="1" applyAlignment="1">
      <alignment horizontal="center"/>
    </xf>
    <xf numFmtId="0" fontId="29" fillId="0" borderId="0" xfId="0" applyFont="1" applyFill="1"/>
    <xf numFmtId="164" fontId="29" fillId="0" borderId="0" xfId="0" applyNumberFormat="1" applyFont="1" applyFill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4" fontId="7" fillId="2" borderId="20" xfId="0" applyNumberFormat="1" applyFont="1" applyFill="1" applyBorder="1" applyAlignment="1" applyProtection="1">
      <alignment horizontal="center"/>
      <protection locked="0"/>
    </xf>
    <xf numFmtId="164" fontId="8" fillId="0" borderId="20" xfId="0" applyNumberFormat="1" applyFont="1" applyFill="1" applyBorder="1"/>
    <xf numFmtId="164" fontId="7" fillId="0" borderId="20" xfId="0" applyNumberFormat="1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left" vertical="center"/>
    </xf>
    <xf numFmtId="164" fontId="8" fillId="2" borderId="20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left"/>
    </xf>
    <xf numFmtId="164" fontId="11" fillId="2" borderId="20" xfId="0" applyNumberFormat="1" applyFont="1" applyFill="1" applyBorder="1"/>
    <xf numFmtId="164" fontId="7" fillId="2" borderId="20" xfId="0" applyNumberFormat="1" applyFont="1" applyFill="1" applyBorder="1"/>
    <xf numFmtId="164" fontId="8" fillId="2" borderId="20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164" fontId="7" fillId="3" borderId="20" xfId="0" applyNumberFormat="1" applyFont="1" applyFill="1" applyBorder="1"/>
    <xf numFmtId="164" fontId="11" fillId="3" borderId="20" xfId="0" applyNumberFormat="1" applyFont="1" applyFill="1" applyBorder="1"/>
    <xf numFmtId="164" fontId="7" fillId="3" borderId="20" xfId="0" applyNumberFormat="1" applyFont="1" applyFill="1" applyBorder="1" applyAlignment="1" applyProtection="1">
      <alignment horizontal="center"/>
      <protection locked="0"/>
    </xf>
    <xf numFmtId="164" fontId="4" fillId="3" borderId="20" xfId="0" applyNumberFormat="1" applyFont="1" applyFill="1" applyBorder="1"/>
    <xf numFmtId="164" fontId="4" fillId="3" borderId="20" xfId="0" applyNumberFormat="1" applyFont="1" applyFill="1" applyBorder="1" applyAlignment="1">
      <alignment horizontal="left" wrapText="1"/>
    </xf>
    <xf numFmtId="1" fontId="7" fillId="0" borderId="20" xfId="0" applyNumberFormat="1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 horizontal="left" vertical="center" wrapText="1"/>
    </xf>
    <xf numFmtId="164" fontId="12" fillId="0" borderId="20" xfId="0" applyNumberFormat="1" applyFont="1" applyFill="1" applyBorder="1"/>
    <xf numFmtId="164" fontId="7" fillId="4" borderId="20" xfId="0" applyNumberFormat="1" applyFont="1" applyFill="1" applyBorder="1"/>
    <xf numFmtId="164" fontId="4" fillId="4" borderId="20" xfId="0" applyNumberFormat="1" applyFont="1" applyFill="1" applyBorder="1"/>
    <xf numFmtId="164" fontId="8" fillId="4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/>
    <xf numFmtId="2" fontId="7" fillId="0" borderId="20" xfId="0" applyNumberFormat="1" applyFont="1" applyFill="1" applyBorder="1"/>
    <xf numFmtId="1" fontId="7" fillId="0" borderId="20" xfId="0" applyNumberFormat="1" applyFont="1" applyFill="1" applyBorder="1"/>
    <xf numFmtId="164" fontId="7" fillId="4" borderId="20" xfId="0" applyNumberFormat="1" applyFont="1" applyFill="1" applyBorder="1" applyAlignment="1">
      <alignment vertical="center"/>
    </xf>
    <xf numFmtId="164" fontId="4" fillId="4" borderId="20" xfId="0" applyNumberFormat="1" applyFont="1" applyFill="1" applyBorder="1" applyAlignment="1">
      <alignment wrapText="1"/>
    </xf>
    <xf numFmtId="164" fontId="8" fillId="4" borderId="20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 applyProtection="1">
      <alignment horizontal="center"/>
      <protection locked="0"/>
    </xf>
    <xf numFmtId="164" fontId="7" fillId="4" borderId="20" xfId="0" applyNumberFormat="1" applyFont="1" applyFill="1" applyBorder="1" applyAlignment="1">
      <alignment horizontal="center"/>
    </xf>
    <xf numFmtId="164" fontId="7" fillId="2" borderId="82" xfId="0" applyNumberFormat="1" applyFont="1" applyFill="1" applyBorder="1" applyAlignment="1">
      <alignment horizontal="center" vertical="center"/>
    </xf>
    <xf numFmtId="164" fontId="7" fillId="0" borderId="82" xfId="0" applyNumberFormat="1" applyFont="1" applyFill="1" applyBorder="1" applyAlignment="1">
      <alignment horizontal="left" vertical="center" wrapText="1"/>
    </xf>
    <xf numFmtId="164" fontId="7" fillId="0" borderId="82" xfId="0" applyNumberFormat="1" applyFont="1" applyFill="1" applyBorder="1"/>
    <xf numFmtId="164" fontId="7" fillId="2" borderId="82" xfId="0" applyNumberFormat="1" applyFont="1" applyFill="1" applyBorder="1"/>
    <xf numFmtId="164" fontId="7" fillId="3" borderId="82" xfId="0" applyNumberFormat="1" applyFont="1" applyFill="1" applyBorder="1"/>
    <xf numFmtId="164" fontId="7" fillId="4" borderId="82" xfId="0" applyNumberFormat="1" applyFont="1" applyFill="1" applyBorder="1"/>
    <xf numFmtId="164" fontId="7" fillId="4" borderId="82" xfId="0" applyNumberFormat="1" applyFont="1" applyFill="1" applyBorder="1" applyAlignment="1">
      <alignment vertical="center"/>
    </xf>
    <xf numFmtId="164" fontId="8" fillId="2" borderId="83" xfId="0" applyNumberFormat="1" applyFont="1" applyFill="1" applyBorder="1" applyAlignment="1">
      <alignment horizontal="center" vertical="center" wrapText="1"/>
    </xf>
    <xf numFmtId="164" fontId="8" fillId="0" borderId="83" xfId="0" applyNumberFormat="1" applyFont="1" applyFill="1" applyBorder="1" applyAlignment="1">
      <alignment horizontal="center" vertical="center" wrapText="1"/>
    </xf>
    <xf numFmtId="164" fontId="8" fillId="0" borderId="83" xfId="0" applyNumberFormat="1" applyFont="1" applyFill="1" applyBorder="1" applyAlignment="1">
      <alignment horizontal="center"/>
    </xf>
    <xf numFmtId="167" fontId="7" fillId="0" borderId="83" xfId="0" applyNumberFormat="1" applyFont="1" applyFill="1" applyBorder="1" applyAlignment="1" applyProtection="1">
      <alignment horizontal="center"/>
      <protection locked="0"/>
    </xf>
    <xf numFmtId="164" fontId="7" fillId="0" borderId="83" xfId="0" applyNumberFormat="1" applyFont="1" applyFill="1" applyBorder="1" applyAlignment="1" applyProtection="1">
      <alignment horizontal="center"/>
      <protection locked="0"/>
    </xf>
    <xf numFmtId="164" fontId="7" fillId="2" borderId="83" xfId="0" applyNumberFormat="1" applyFont="1" applyFill="1" applyBorder="1" applyAlignment="1" applyProtection="1">
      <alignment horizontal="center"/>
      <protection locked="0"/>
    </xf>
    <xf numFmtId="164" fontId="7" fillId="3" borderId="83" xfId="0" applyNumberFormat="1" applyFont="1" applyFill="1" applyBorder="1" applyAlignment="1" applyProtection="1">
      <alignment horizontal="center"/>
      <protection locked="0"/>
    </xf>
    <xf numFmtId="164" fontId="8" fillId="4" borderId="83" xfId="0" applyNumberFormat="1" applyFont="1" applyFill="1" applyBorder="1" applyAlignment="1">
      <alignment horizontal="center"/>
    </xf>
    <xf numFmtId="164" fontId="15" fillId="0" borderId="83" xfId="2" applyNumberFormat="1" applyFont="1" applyFill="1" applyBorder="1" applyAlignment="1" applyProtection="1">
      <alignment horizontal="center"/>
      <protection locked="0"/>
    </xf>
    <xf numFmtId="164" fontId="8" fillId="4" borderId="83" xfId="0" applyNumberFormat="1" applyFont="1" applyFill="1" applyBorder="1" applyAlignment="1">
      <alignment horizontal="center" vertical="center"/>
    </xf>
    <xf numFmtId="164" fontId="7" fillId="9" borderId="83" xfId="0" applyNumberFormat="1" applyFont="1" applyFill="1" applyBorder="1" applyAlignment="1" applyProtection="1">
      <alignment horizontal="center"/>
      <protection locked="0"/>
    </xf>
    <xf numFmtId="0" fontId="8" fillId="0" borderId="75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/>
    </xf>
    <xf numFmtId="164" fontId="8" fillId="2" borderId="70" xfId="0" applyNumberFormat="1" applyFont="1" applyFill="1" applyBorder="1" applyAlignment="1">
      <alignment horizontal="center" vertical="center" wrapText="1"/>
    </xf>
    <xf numFmtId="164" fontId="8" fillId="2" borderId="65" xfId="0" applyNumberFormat="1" applyFont="1" applyFill="1" applyBorder="1" applyAlignment="1">
      <alignment horizontal="center" vertical="center" wrapText="1"/>
    </xf>
    <xf numFmtId="164" fontId="8" fillId="2" borderId="84" xfId="0" applyNumberFormat="1" applyFont="1" applyFill="1" applyBorder="1" applyAlignment="1">
      <alignment horizontal="center" vertical="center" wrapText="1"/>
    </xf>
    <xf numFmtId="164" fontId="8" fillId="2" borderId="68" xfId="0" applyNumberFormat="1" applyFont="1" applyFill="1" applyBorder="1" applyAlignment="1">
      <alignment horizontal="center" vertical="center" wrapText="1"/>
    </xf>
    <xf numFmtId="164" fontId="8" fillId="2" borderId="85" xfId="0" applyNumberFormat="1" applyFont="1" applyFill="1" applyBorder="1" applyAlignment="1">
      <alignment horizontal="center" vertical="center" wrapText="1"/>
    </xf>
    <xf numFmtId="164" fontId="8" fillId="2" borderId="71" xfId="0" applyNumberFormat="1" applyFont="1" applyFill="1" applyBorder="1" applyAlignment="1">
      <alignment horizontal="center" vertical="center" wrapText="1"/>
    </xf>
    <xf numFmtId="164" fontId="8" fillId="0" borderId="72" xfId="0" applyNumberFormat="1" applyFont="1" applyFill="1" applyBorder="1" applyAlignment="1">
      <alignment horizontal="center"/>
    </xf>
    <xf numFmtId="164" fontId="8" fillId="2" borderId="86" xfId="0" applyNumberFormat="1" applyFont="1" applyFill="1" applyBorder="1" applyAlignment="1">
      <alignment horizontal="center" vertical="center" wrapText="1"/>
    </xf>
    <xf numFmtId="164" fontId="8" fillId="2" borderId="82" xfId="0" applyNumberFormat="1" applyFont="1" applyFill="1" applyBorder="1" applyAlignment="1">
      <alignment horizontal="center" vertical="center" wrapText="1"/>
    </xf>
    <xf numFmtId="164" fontId="8" fillId="0" borderId="82" xfId="0" applyNumberFormat="1" applyFont="1" applyFill="1" applyBorder="1" applyAlignment="1">
      <alignment horizontal="center"/>
    </xf>
    <xf numFmtId="164" fontId="7" fillId="2" borderId="82" xfId="0" applyNumberFormat="1" applyFont="1" applyFill="1" applyBorder="1" applyAlignment="1" applyProtection="1">
      <alignment horizontal="center"/>
      <protection locked="0"/>
    </xf>
    <xf numFmtId="164" fontId="7" fillId="3" borderId="82" xfId="0" applyNumberFormat="1" applyFont="1" applyFill="1" applyBorder="1" applyAlignment="1" applyProtection="1">
      <alignment horizontal="center"/>
      <protection locked="0"/>
    </xf>
    <xf numFmtId="164" fontId="8" fillId="4" borderId="82" xfId="0" applyNumberFormat="1" applyFont="1" applyFill="1" applyBorder="1" applyAlignment="1">
      <alignment horizontal="center"/>
    </xf>
    <xf numFmtId="164" fontId="8" fillId="4" borderId="82" xfId="0" applyNumberFormat="1" applyFont="1" applyFill="1" applyBorder="1" applyAlignment="1">
      <alignment horizontal="center" vertical="center"/>
    </xf>
    <xf numFmtId="164" fontId="7" fillId="4" borderId="83" xfId="0" applyNumberFormat="1" applyFont="1" applyFill="1" applyBorder="1" applyAlignment="1" applyProtection="1">
      <alignment horizontal="center"/>
      <protection locked="0"/>
    </xf>
    <xf numFmtId="164" fontId="8" fillId="2" borderId="78" xfId="0" applyNumberFormat="1" applyFont="1" applyFill="1" applyBorder="1" applyAlignment="1">
      <alignment horizontal="center" vertical="center" wrapText="1"/>
    </xf>
    <xf numFmtId="164" fontId="8" fillId="2" borderId="80" xfId="0" applyNumberFormat="1" applyFont="1" applyFill="1" applyBorder="1" applyAlignment="1">
      <alignment horizontal="center" vertical="center" wrapText="1"/>
    </xf>
    <xf numFmtId="164" fontId="8" fillId="2" borderId="7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left" vertical="center"/>
    </xf>
    <xf numFmtId="0" fontId="24" fillId="6" borderId="65" xfId="0" applyFont="1" applyFill="1" applyBorder="1" applyAlignment="1">
      <alignment horizontal="left" vertical="center"/>
    </xf>
    <xf numFmtId="0" fontId="24" fillId="7" borderId="2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8" fillId="0" borderId="53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left"/>
    </xf>
    <xf numFmtId="164" fontId="11" fillId="0" borderId="6" xfId="0" applyNumberFormat="1" applyFont="1" applyFill="1" applyBorder="1"/>
    <xf numFmtId="164" fontId="7" fillId="0" borderId="15" xfId="0" applyNumberFormat="1" applyFont="1" applyFill="1" applyBorder="1" applyAlignment="1" applyProtection="1">
      <alignment horizontal="center"/>
      <protection locked="0"/>
    </xf>
    <xf numFmtId="164" fontId="7" fillId="0" borderId="19" xfId="0" applyNumberFormat="1" applyFont="1" applyFill="1" applyBorder="1" applyAlignment="1" applyProtection="1">
      <alignment horizontal="center"/>
      <protection locked="0"/>
    </xf>
    <xf numFmtId="164" fontId="8" fillId="0" borderId="14" xfId="0" applyNumberFormat="1" applyFont="1" applyFill="1" applyBorder="1" applyAlignment="1">
      <alignment horizontal="center"/>
    </xf>
    <xf numFmtId="164" fontId="7" fillId="0" borderId="25" xfId="0" applyNumberFormat="1" applyFont="1" applyFill="1" applyBorder="1"/>
    <xf numFmtId="164" fontId="11" fillId="0" borderId="25" xfId="0" applyNumberFormat="1" applyFont="1" applyFill="1" applyBorder="1"/>
    <xf numFmtId="164" fontId="7" fillId="0" borderId="6" xfId="0" applyNumberFormat="1" applyFont="1" applyFill="1" applyBorder="1"/>
    <xf numFmtId="164" fontId="7" fillId="0" borderId="27" xfId="0" applyNumberFormat="1" applyFont="1" applyFill="1" applyBorder="1"/>
    <xf numFmtId="164" fontId="11" fillId="0" borderId="27" xfId="0" applyNumberFormat="1" applyFont="1" applyFill="1" applyBorder="1"/>
    <xf numFmtId="164" fontId="4" fillId="0" borderId="25" xfId="0" applyNumberFormat="1" applyFont="1" applyFill="1" applyBorder="1"/>
    <xf numFmtId="164" fontId="4" fillId="0" borderId="27" xfId="0" applyNumberFormat="1" applyFont="1" applyFill="1" applyBorder="1"/>
    <xf numFmtId="164" fontId="4" fillId="0" borderId="4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left" vertical="center" wrapText="1"/>
    </xf>
    <xf numFmtId="164" fontId="7" fillId="2" borderId="15" xfId="0" applyNumberFormat="1" applyFont="1" applyFill="1" applyBorder="1"/>
    <xf numFmtId="164" fontId="7" fillId="2" borderId="10" xfId="0" applyNumberFormat="1" applyFont="1" applyFill="1" applyBorder="1"/>
    <xf numFmtId="164" fontId="7" fillId="2" borderId="22" xfId="0" applyNumberFormat="1" applyFont="1" applyFill="1" applyBorder="1"/>
    <xf numFmtId="164" fontId="7" fillId="2" borderId="3" xfId="0" applyNumberFormat="1" applyFont="1" applyFill="1" applyBorder="1"/>
    <xf numFmtId="164" fontId="7" fillId="2" borderId="2" xfId="0" applyNumberFormat="1" applyFont="1" applyFill="1" applyBorder="1"/>
    <xf numFmtId="164" fontId="7" fillId="2" borderId="29" xfId="0" applyNumberFormat="1" applyFont="1" applyFill="1" applyBorder="1"/>
    <xf numFmtId="164" fontId="7" fillId="2" borderId="31" xfId="0" applyNumberFormat="1" applyFont="1" applyFill="1" applyBorder="1"/>
    <xf numFmtId="164" fontId="7" fillId="2" borderId="48" xfId="0" applyNumberFormat="1" applyFont="1" applyFill="1" applyBorder="1"/>
    <xf numFmtId="164" fontId="7" fillId="2" borderId="16" xfId="0" applyNumberFormat="1" applyFont="1" applyFill="1" applyBorder="1"/>
    <xf numFmtId="164" fontId="7" fillId="2" borderId="18" xfId="0" applyNumberFormat="1" applyFont="1" applyFill="1" applyBorder="1"/>
    <xf numFmtId="164" fontId="7" fillId="2" borderId="34" xfId="0" applyNumberFormat="1" applyFont="1" applyFill="1" applyBorder="1"/>
    <xf numFmtId="164" fontId="7" fillId="2" borderId="35" xfId="0" applyNumberFormat="1" applyFont="1" applyFill="1" applyBorder="1"/>
    <xf numFmtId="164" fontId="7" fillId="2" borderId="36" xfId="0" applyNumberFormat="1" applyFont="1" applyFill="1" applyBorder="1"/>
    <xf numFmtId="164" fontId="7" fillId="2" borderId="47" xfId="0" applyNumberFormat="1" applyFont="1" applyFill="1" applyBorder="1"/>
    <xf numFmtId="164" fontId="7" fillId="2" borderId="47" xfId="0" applyNumberFormat="1" applyFont="1" applyFill="1" applyBorder="1" applyAlignment="1">
      <alignment vertical="center"/>
    </xf>
    <xf numFmtId="164" fontId="7" fillId="2" borderId="24" xfId="0" applyNumberFormat="1" applyFont="1" applyFill="1" applyBorder="1"/>
    <xf numFmtId="164" fontId="7" fillId="2" borderId="49" xfId="0" applyNumberFormat="1" applyFont="1" applyFill="1" applyBorder="1"/>
    <xf numFmtId="164" fontId="4" fillId="2" borderId="9" xfId="0" applyNumberFormat="1" applyFont="1" applyFill="1" applyBorder="1"/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10" fillId="2" borderId="9" xfId="0" applyNumberFormat="1" applyFont="1" applyFill="1" applyBorder="1"/>
    <xf numFmtId="164" fontId="8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7" fillId="2" borderId="19" xfId="0" applyNumberFormat="1" applyFont="1" applyFill="1" applyBorder="1"/>
    <xf numFmtId="164" fontId="10" fillId="2" borderId="17" xfId="0" applyNumberFormat="1" applyFont="1" applyFill="1" applyBorder="1"/>
    <xf numFmtId="167" fontId="7" fillId="2" borderId="20" xfId="0" applyNumberFormat="1" applyFont="1" applyFill="1" applyBorder="1" applyAlignment="1" applyProtection="1">
      <alignment horizontal="center"/>
      <protection locked="0"/>
    </xf>
    <xf numFmtId="164" fontId="7" fillId="2" borderId="10" xfId="0" applyNumberFormat="1" applyFont="1" applyFill="1" applyBorder="1" applyAlignment="1">
      <alignment horizontal="center"/>
    </xf>
    <xf numFmtId="164" fontId="7" fillId="2" borderId="17" xfId="0" applyNumberFormat="1" applyFont="1" applyFill="1" applyBorder="1"/>
    <xf numFmtId="0" fontId="14" fillId="2" borderId="20" xfId="0" applyFont="1" applyFill="1" applyBorder="1" applyAlignment="1">
      <alignment horizontal="center"/>
    </xf>
    <xf numFmtId="164" fontId="7" fillId="2" borderId="21" xfId="0" applyNumberFormat="1" applyFont="1" applyFill="1" applyBorder="1"/>
    <xf numFmtId="164" fontId="10" fillId="2" borderId="21" xfId="0" applyNumberFormat="1" applyFont="1" applyFill="1" applyBorder="1"/>
    <xf numFmtId="164" fontId="8" fillId="2" borderId="22" xfId="0" applyNumberFormat="1" applyFont="1" applyFill="1" applyBorder="1" applyAlignment="1">
      <alignment horizontal="center"/>
    </xf>
    <xf numFmtId="164" fontId="7" fillId="2" borderId="22" xfId="0" applyNumberFormat="1" applyFont="1" applyFill="1" applyBorder="1" applyAlignment="1" applyProtection="1">
      <alignment horizontal="center"/>
      <protection locked="0"/>
    </xf>
    <xf numFmtId="164" fontId="7" fillId="2" borderId="21" xfId="0" applyNumberFormat="1" applyFont="1" applyFill="1" applyBorder="1" applyAlignment="1" applyProtection="1">
      <alignment horizontal="center"/>
      <protection locked="0"/>
    </xf>
    <xf numFmtId="164" fontId="8" fillId="2" borderId="23" xfId="0" applyNumberFormat="1" applyFont="1" applyFill="1" applyBorder="1" applyAlignment="1">
      <alignment horizontal="center"/>
    </xf>
    <xf numFmtId="164" fontId="7" fillId="2" borderId="46" xfId="0" applyNumberFormat="1" applyFont="1" applyFill="1" applyBorder="1"/>
    <xf numFmtId="164" fontId="4" fillId="2" borderId="47" xfId="0" applyNumberFormat="1" applyFont="1" applyFill="1" applyBorder="1"/>
    <xf numFmtId="164" fontId="8" fillId="2" borderId="47" xfId="0" applyNumberFormat="1" applyFont="1" applyFill="1" applyBorder="1" applyAlignment="1">
      <alignment horizontal="center"/>
    </xf>
    <xf numFmtId="164" fontId="8" fillId="2" borderId="46" xfId="0" applyNumberFormat="1" applyFont="1" applyFill="1" applyBorder="1" applyAlignment="1">
      <alignment horizontal="center"/>
    </xf>
    <xf numFmtId="164" fontId="8" fillId="2" borderId="55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4" fillId="2" borderId="47" xfId="0" applyNumberFormat="1" applyFont="1" applyFill="1" applyBorder="1" applyAlignment="1">
      <alignment wrapText="1"/>
    </xf>
    <xf numFmtId="164" fontId="8" fillId="2" borderId="47" xfId="0" applyNumberFormat="1" applyFont="1" applyFill="1" applyBorder="1" applyAlignment="1">
      <alignment horizontal="center" vertical="center"/>
    </xf>
    <xf numFmtId="164" fontId="8" fillId="2" borderId="4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6" fillId="0" borderId="0" xfId="0" applyFont="1" applyFill="1" applyAlignment="1">
      <alignment horizontal="center"/>
    </xf>
    <xf numFmtId="0" fontId="2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2" fillId="0" borderId="0" xfId="0" applyFont="1" applyFill="1"/>
    <xf numFmtId="0" fontId="23" fillId="0" borderId="0" xfId="0" applyFont="1" applyFill="1" applyBorder="1" applyAlignment="1">
      <alignment horizontal="center"/>
    </xf>
    <xf numFmtId="0" fontId="2" fillId="0" borderId="0" xfId="0" applyFont="1" applyFill="1"/>
    <xf numFmtId="0" fontId="22" fillId="0" borderId="20" xfId="0" applyFont="1" applyFill="1" applyBorder="1"/>
    <xf numFmtId="0" fontId="24" fillId="0" borderId="20" xfId="0" applyFont="1" applyFill="1" applyBorder="1" applyAlignment="1">
      <alignment horizontal="center"/>
    </xf>
    <xf numFmtId="0" fontId="22" fillId="0" borderId="20" xfId="0" applyFont="1" applyBorder="1"/>
    <xf numFmtId="0" fontId="23" fillId="0" borderId="20" xfId="0" applyFont="1" applyFill="1" applyBorder="1" applyAlignment="1">
      <alignment horizontal="center"/>
    </xf>
    <xf numFmtId="0" fontId="25" fillId="0" borderId="20" xfId="0" applyFont="1" applyBorder="1"/>
    <xf numFmtId="49" fontId="22" fillId="0" borderId="20" xfId="0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1" fontId="22" fillId="0" borderId="2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5" fillId="0" borderId="20" xfId="0" applyFont="1" applyFill="1" applyBorder="1" applyAlignment="1">
      <alignment horizontal="center"/>
    </xf>
    <xf numFmtId="49" fontId="22" fillId="7" borderId="20" xfId="0" applyNumberFormat="1" applyFont="1" applyFill="1" applyBorder="1" applyAlignment="1">
      <alignment horizontal="center" vertical="center"/>
    </xf>
    <xf numFmtId="0" fontId="22" fillId="7" borderId="20" xfId="0" applyFont="1" applyFill="1" applyBorder="1"/>
    <xf numFmtId="0" fontId="22" fillId="0" borderId="20" xfId="0" applyFont="1" applyBorder="1" applyAlignment="1">
      <alignment horizontal="left" vertical="center"/>
    </xf>
    <xf numFmtId="0" fontId="24" fillId="0" borderId="20" xfId="0" applyFont="1" applyBorder="1"/>
    <xf numFmtId="0" fontId="24" fillId="0" borderId="20" xfId="0" applyFont="1" applyFill="1" applyBorder="1"/>
    <xf numFmtId="0" fontId="24" fillId="7" borderId="2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164" fontId="4" fillId="2" borderId="20" xfId="0" applyNumberFormat="1" applyFont="1" applyFill="1" applyBorder="1"/>
    <xf numFmtId="0" fontId="9" fillId="0" borderId="0" xfId="0" applyFont="1" applyFill="1" applyAlignment="1">
      <alignment horizont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24" fillId="0" borderId="2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2" fillId="0" borderId="20" xfId="0" applyFont="1" applyFill="1" applyBorder="1" applyAlignment="1">
      <alignment horizontal="left" vertical="center"/>
    </xf>
    <xf numFmtId="0" fontId="24" fillId="7" borderId="20" xfId="0" applyFont="1" applyFill="1" applyBorder="1" applyAlignment="1">
      <alignment horizontal="left" vertical="center"/>
    </xf>
    <xf numFmtId="0" fontId="24" fillId="6" borderId="6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24" fillId="2" borderId="63" xfId="0" applyFont="1" applyFill="1" applyBorder="1" applyAlignment="1">
      <alignment horizontal="center" vertical="center" wrapText="1"/>
    </xf>
    <xf numFmtId="0" fontId="24" fillId="7" borderId="63" xfId="0" applyFont="1" applyFill="1" applyBorder="1" applyAlignment="1">
      <alignment horizontal="center" vertical="center" wrapText="1"/>
    </xf>
    <xf numFmtId="164" fontId="2" fillId="5" borderId="56" xfId="0" applyNumberFormat="1" applyFont="1" applyFill="1" applyBorder="1" applyAlignment="1">
      <alignment horizontal="center" vertical="center" wrapText="1"/>
    </xf>
    <xf numFmtId="164" fontId="8" fillId="6" borderId="27" xfId="0" applyNumberFormat="1" applyFont="1" applyFill="1" applyBorder="1" applyAlignment="1">
      <alignment horizontal="center" vertical="center" wrapText="1"/>
    </xf>
    <xf numFmtId="164" fontId="7" fillId="6" borderId="20" xfId="0" applyNumberFormat="1" applyFont="1" applyFill="1" applyBorder="1" applyAlignment="1" applyProtection="1">
      <alignment horizontal="center"/>
      <protection locked="0"/>
    </xf>
    <xf numFmtId="0" fontId="14" fillId="6" borderId="20" xfId="0" applyFont="1" applyFill="1" applyBorder="1" applyAlignment="1">
      <alignment horizontal="center"/>
    </xf>
    <xf numFmtId="164" fontId="7" fillId="6" borderId="10" xfId="0" applyNumberFormat="1" applyFont="1" applyFill="1" applyBorder="1" applyAlignment="1" applyProtection="1">
      <alignment horizontal="center"/>
      <protection locked="0"/>
    </xf>
    <xf numFmtId="168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64" fontId="26" fillId="6" borderId="88" xfId="0" applyNumberFormat="1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164" fontId="15" fillId="6" borderId="10" xfId="2" applyNumberFormat="1" applyFont="1" applyFill="1" applyBorder="1" applyAlignment="1" applyProtection="1">
      <alignment horizontal="center"/>
      <protection locked="0"/>
    </xf>
    <xf numFmtId="164" fontId="2" fillId="5" borderId="89" xfId="0" applyNumberFormat="1" applyFont="1" applyFill="1" applyBorder="1" applyAlignment="1">
      <alignment horizontal="center"/>
    </xf>
    <xf numFmtId="164" fontId="2" fillId="5" borderId="6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" fontId="7" fillId="6" borderId="20" xfId="0" applyNumberFormat="1" applyFont="1" applyFill="1" applyBorder="1" applyAlignment="1">
      <alignment horizontal="center"/>
    </xf>
    <xf numFmtId="164" fontId="7" fillId="6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164" fontId="8" fillId="6" borderId="15" xfId="0" applyNumberFormat="1" applyFont="1" applyFill="1" applyBorder="1" applyAlignment="1">
      <alignment horizontal="center"/>
    </xf>
    <xf numFmtId="164" fontId="7" fillId="6" borderId="29" xfId="0" applyNumberFormat="1" applyFont="1" applyFill="1" applyBorder="1" applyAlignment="1">
      <alignment horizontal="center"/>
    </xf>
    <xf numFmtId="164" fontId="7" fillId="0" borderId="91" xfId="0" applyNumberFormat="1" applyFont="1" applyFill="1" applyBorder="1" applyAlignment="1">
      <alignment horizontal="left"/>
    </xf>
    <xf numFmtId="164" fontId="4" fillId="0" borderId="92" xfId="0" applyNumberFormat="1" applyFont="1" applyFill="1" applyBorder="1"/>
    <xf numFmtId="164" fontId="7" fillId="2" borderId="92" xfId="0" applyNumberFormat="1" applyFont="1" applyFill="1" applyBorder="1"/>
    <xf numFmtId="164" fontId="8" fillId="0" borderId="92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49" fontId="30" fillId="0" borderId="0" xfId="0" applyNumberFormat="1" applyFont="1" applyFill="1"/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164" fontId="30" fillId="2" borderId="6" xfId="0" applyNumberFormat="1" applyFont="1" applyFill="1" applyBorder="1" applyAlignment="1">
      <alignment horizontal="center" vertical="center"/>
    </xf>
    <xf numFmtId="164" fontId="31" fillId="2" borderId="6" xfId="0" applyNumberFormat="1" applyFont="1" applyFill="1" applyBorder="1" applyAlignment="1">
      <alignment horizontal="left" vertical="center"/>
    </xf>
    <xf numFmtId="164" fontId="30" fillId="2" borderId="2" xfId="0" applyNumberFormat="1" applyFont="1" applyFill="1" applyBorder="1" applyAlignment="1">
      <alignment horizontal="center" vertical="center"/>
    </xf>
    <xf numFmtId="164" fontId="31" fillId="2" borderId="2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  <xf numFmtId="164" fontId="31" fillId="2" borderId="8" xfId="0" applyNumberFormat="1" applyFont="1" applyFill="1" applyBorder="1" applyAlignment="1">
      <alignment horizontal="center" vertical="center" wrapText="1"/>
    </xf>
    <xf numFmtId="164" fontId="31" fillId="2" borderId="9" xfId="0" applyNumberFormat="1" applyFont="1" applyFill="1" applyBorder="1"/>
    <xf numFmtId="164" fontId="30" fillId="2" borderId="10" xfId="0" applyNumberFormat="1" applyFont="1" applyFill="1" applyBorder="1" applyAlignment="1">
      <alignment horizontal="left" vertical="center" wrapText="1"/>
    </xf>
    <xf numFmtId="164" fontId="31" fillId="2" borderId="11" xfId="0" applyNumberFormat="1" applyFont="1" applyFill="1" applyBorder="1" applyAlignment="1">
      <alignment horizontal="center" vertical="center" wrapText="1"/>
    </xf>
    <xf numFmtId="164" fontId="31" fillId="2" borderId="12" xfId="0" applyNumberFormat="1" applyFont="1" applyFill="1" applyBorder="1" applyAlignment="1">
      <alignment horizontal="center" vertical="center" wrapText="1"/>
    </xf>
    <xf numFmtId="164" fontId="31" fillId="2" borderId="27" xfId="0" applyNumberFormat="1" applyFont="1" applyFill="1" applyBorder="1" applyAlignment="1">
      <alignment horizontal="center" vertical="center" wrapText="1"/>
    </xf>
    <xf numFmtId="164" fontId="31" fillId="2" borderId="20" xfId="0" applyNumberFormat="1" applyFont="1" applyFill="1" applyBorder="1" applyAlignment="1">
      <alignment horizontal="center" vertical="center" wrapText="1"/>
    </xf>
    <xf numFmtId="164" fontId="31" fillId="2" borderId="13" xfId="0" applyNumberFormat="1" applyFont="1" applyFill="1" applyBorder="1" applyAlignment="1">
      <alignment horizontal="center" vertical="center" wrapText="1"/>
    </xf>
    <xf numFmtId="164" fontId="31" fillId="2" borderId="14" xfId="0" applyNumberFormat="1" applyFont="1" applyFill="1" applyBorder="1"/>
    <xf numFmtId="164" fontId="30" fillId="2" borderId="15" xfId="0" applyNumberFormat="1" applyFont="1" applyFill="1" applyBorder="1"/>
    <xf numFmtId="164" fontId="31" fillId="2" borderId="15" xfId="0" applyNumberFormat="1" applyFont="1" applyFill="1" applyBorder="1" applyAlignment="1">
      <alignment horizontal="center"/>
    </xf>
    <xf numFmtId="164" fontId="31" fillId="2" borderId="20" xfId="0" applyNumberFormat="1" applyFont="1" applyFill="1" applyBorder="1" applyAlignment="1">
      <alignment horizontal="center"/>
    </xf>
    <xf numFmtId="164" fontId="30" fillId="2" borderId="20" xfId="0" applyNumberFormat="1" applyFont="1" applyFill="1" applyBorder="1" applyAlignment="1" applyProtection="1">
      <alignment horizontal="center"/>
      <protection locked="0"/>
    </xf>
    <xf numFmtId="164" fontId="31" fillId="2" borderId="16" xfId="0" applyNumberFormat="1" applyFont="1" applyFill="1" applyBorder="1" applyAlignment="1">
      <alignment horizontal="center"/>
    </xf>
    <xf numFmtId="164" fontId="30" fillId="2" borderId="9" xfId="0" applyNumberFormat="1" applyFont="1" applyFill="1" applyBorder="1"/>
    <xf numFmtId="164" fontId="30" fillId="2" borderId="10" xfId="0" applyNumberFormat="1" applyFont="1" applyFill="1" applyBorder="1"/>
    <xf numFmtId="164" fontId="31" fillId="2" borderId="10" xfId="0" applyNumberFormat="1" applyFont="1" applyFill="1" applyBorder="1" applyAlignment="1">
      <alignment horizontal="center"/>
    </xf>
    <xf numFmtId="164" fontId="31" fillId="2" borderId="17" xfId="0" applyNumberFormat="1" applyFont="1" applyFill="1" applyBorder="1" applyAlignment="1">
      <alignment horizontal="center"/>
    </xf>
    <xf numFmtId="164" fontId="31" fillId="2" borderId="18" xfId="0" applyNumberFormat="1" applyFont="1" applyFill="1" applyBorder="1" applyAlignment="1">
      <alignment horizontal="center"/>
    </xf>
    <xf numFmtId="164" fontId="30" fillId="2" borderId="19" xfId="0" applyNumberFormat="1" applyFont="1" applyFill="1" applyBorder="1"/>
    <xf numFmtId="164" fontId="30" fillId="2" borderId="17" xfId="0" applyNumberFormat="1" applyFont="1" applyFill="1" applyBorder="1"/>
    <xf numFmtId="164" fontId="30" fillId="2" borderId="10" xfId="0" applyNumberFormat="1" applyFont="1" applyFill="1" applyBorder="1" applyAlignment="1" applyProtection="1">
      <alignment horizontal="center"/>
      <protection locked="0"/>
    </xf>
    <xf numFmtId="164" fontId="30" fillId="2" borderId="17" xfId="0" applyNumberFormat="1" applyFont="1" applyFill="1" applyBorder="1" applyAlignment="1" applyProtection="1">
      <alignment horizontal="center"/>
      <protection locked="0"/>
    </xf>
    <xf numFmtId="167" fontId="30" fillId="2" borderId="20" xfId="0" applyNumberFormat="1" applyFont="1" applyFill="1" applyBorder="1" applyAlignment="1" applyProtection="1">
      <alignment horizontal="center"/>
      <protection locked="0"/>
    </xf>
    <xf numFmtId="164" fontId="30" fillId="2" borderId="10" xfId="0" applyNumberFormat="1" applyFont="1" applyFill="1" applyBorder="1" applyAlignment="1">
      <alignment horizontal="center"/>
    </xf>
    <xf numFmtId="164" fontId="31" fillId="2" borderId="11" xfId="0" applyNumberFormat="1" applyFont="1" applyFill="1" applyBorder="1" applyAlignment="1">
      <alignment horizontal="center"/>
    </xf>
    <xf numFmtId="164" fontId="31" fillId="2" borderId="9" xfId="0" applyNumberFormat="1" applyFont="1" applyFill="1" applyBorder="1" applyAlignment="1">
      <alignment horizontal="center"/>
    </xf>
    <xf numFmtId="164" fontId="30" fillId="2" borderId="11" xfId="0" applyNumberFormat="1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164" fontId="30" fillId="2" borderId="21" xfId="0" applyNumberFormat="1" applyFont="1" applyFill="1" applyBorder="1"/>
    <xf numFmtId="164" fontId="30" fillId="2" borderId="22" xfId="0" applyNumberFormat="1" applyFont="1" applyFill="1" applyBorder="1"/>
    <xf numFmtId="164" fontId="30" fillId="2" borderId="22" xfId="0" applyNumberFormat="1" applyFont="1" applyFill="1" applyBorder="1" applyAlignment="1" applyProtection="1">
      <alignment horizontal="center"/>
      <protection locked="0"/>
    </xf>
    <xf numFmtId="164" fontId="30" fillId="2" borderId="21" xfId="0" applyNumberFormat="1" applyFont="1" applyFill="1" applyBorder="1" applyAlignment="1" applyProtection="1">
      <alignment horizontal="center"/>
      <protection locked="0"/>
    </xf>
    <xf numFmtId="164" fontId="31" fillId="2" borderId="23" xfId="0" applyNumberFormat="1" applyFont="1" applyFill="1" applyBorder="1" applyAlignment="1">
      <alignment horizontal="center"/>
    </xf>
    <xf numFmtId="164" fontId="30" fillId="0" borderId="4" xfId="0" applyNumberFormat="1" applyFont="1" applyFill="1" applyBorder="1"/>
    <xf numFmtId="164" fontId="30" fillId="2" borderId="3" xfId="0" applyNumberFormat="1" applyFont="1" applyFill="1" applyBorder="1"/>
    <xf numFmtId="164" fontId="31" fillId="0" borderId="3" xfId="0" applyNumberFormat="1" applyFont="1" applyFill="1" applyBorder="1" applyAlignment="1">
      <alignment horizontal="center"/>
    </xf>
    <xf numFmtId="164" fontId="31" fillId="0" borderId="4" xfId="0" applyNumberFormat="1" applyFont="1" applyFill="1" applyBorder="1" applyAlignment="1">
      <alignment horizontal="center"/>
    </xf>
    <xf numFmtId="164" fontId="30" fillId="0" borderId="20" xfId="0" applyNumberFormat="1" applyFont="1" applyFill="1" applyBorder="1" applyAlignment="1" applyProtection="1">
      <alignment horizontal="center"/>
      <protection locked="0"/>
    </xf>
    <xf numFmtId="164" fontId="31" fillId="0" borderId="24" xfId="0" applyNumberFormat="1" applyFont="1" applyFill="1" applyBorder="1" applyAlignment="1">
      <alignment horizontal="center"/>
    </xf>
    <xf numFmtId="164" fontId="30" fillId="0" borderId="11" xfId="0" applyNumberFormat="1" applyFont="1" applyFill="1" applyBorder="1" applyAlignment="1">
      <alignment horizontal="center"/>
    </xf>
    <xf numFmtId="164" fontId="31" fillId="0" borderId="11" xfId="0" applyNumberFormat="1" applyFont="1" applyFill="1" applyBorder="1" applyAlignment="1">
      <alignment horizontal="center"/>
    </xf>
    <xf numFmtId="164" fontId="31" fillId="0" borderId="6" xfId="0" applyNumberFormat="1" applyFont="1" applyFill="1" applyBorder="1"/>
    <xf numFmtId="164" fontId="30" fillId="2" borderId="8" xfId="0" applyNumberFormat="1" applyFont="1" applyFill="1" applyBorder="1"/>
    <xf numFmtId="164" fontId="31" fillId="0" borderId="15" xfId="0" applyNumberFormat="1" applyFont="1" applyFill="1" applyBorder="1" applyAlignment="1">
      <alignment horizontal="center"/>
    </xf>
    <xf numFmtId="164" fontId="30" fillId="0" borderId="25" xfId="0" applyNumberFormat="1" applyFont="1" applyFill="1" applyBorder="1"/>
    <xf numFmtId="164" fontId="31" fillId="0" borderId="25" xfId="0" applyNumberFormat="1" applyFont="1" applyFill="1" applyBorder="1"/>
    <xf numFmtId="164" fontId="30" fillId="2" borderId="26" xfId="0" applyNumberFormat="1" applyFont="1" applyFill="1" applyBorder="1"/>
    <xf numFmtId="164" fontId="31" fillId="0" borderId="10" xfId="0" applyNumberFormat="1" applyFont="1" applyFill="1" applyBorder="1" applyAlignment="1">
      <alignment horizontal="center"/>
    </xf>
    <xf numFmtId="164" fontId="30" fillId="0" borderId="10" xfId="0" applyNumberFormat="1" applyFont="1" applyFill="1" applyBorder="1" applyAlignment="1" applyProtection="1">
      <alignment horizontal="center"/>
      <protection locked="0"/>
    </xf>
    <xf numFmtId="164" fontId="30" fillId="0" borderId="17" xfId="0" applyNumberFormat="1" applyFont="1" applyFill="1" applyBorder="1" applyAlignment="1" applyProtection="1">
      <alignment horizontal="center"/>
      <protection locked="0"/>
    </xf>
    <xf numFmtId="164" fontId="31" fillId="0" borderId="9" xfId="0" applyNumberFormat="1" applyFont="1" applyFill="1" applyBorder="1" applyAlignment="1">
      <alignment horizontal="center"/>
    </xf>
    <xf numFmtId="164" fontId="30" fillId="0" borderId="6" xfId="0" applyNumberFormat="1" applyFont="1" applyFill="1" applyBorder="1"/>
    <xf numFmtId="164" fontId="30" fillId="0" borderId="27" xfId="0" applyNumberFormat="1" applyFont="1" applyFill="1" applyBorder="1"/>
    <xf numFmtId="164" fontId="31" fillId="0" borderId="27" xfId="0" applyNumberFormat="1" applyFont="1" applyFill="1" applyBorder="1"/>
    <xf numFmtId="164" fontId="30" fillId="2" borderId="2" xfId="0" applyNumberFormat="1" applyFont="1" applyFill="1" applyBorder="1"/>
    <xf numFmtId="164" fontId="31" fillId="0" borderId="4" xfId="0" applyNumberFormat="1" applyFont="1" applyFill="1" applyBorder="1" applyAlignment="1">
      <alignment horizontal="left" wrapText="1"/>
    </xf>
    <xf numFmtId="1" fontId="30" fillId="0" borderId="19" xfId="0" applyNumberFormat="1" applyFont="1" applyFill="1" applyBorder="1" applyAlignment="1">
      <alignment horizontal="left"/>
    </xf>
    <xf numFmtId="164" fontId="31" fillId="0" borderId="19" xfId="0" applyNumberFormat="1" applyFont="1" applyFill="1" applyBorder="1"/>
    <xf numFmtId="164" fontId="30" fillId="0" borderId="21" xfId="0" applyNumberFormat="1" applyFont="1" applyFill="1" applyBorder="1"/>
    <xf numFmtId="164" fontId="31" fillId="0" borderId="17" xfId="0" applyNumberFormat="1" applyFont="1" applyFill="1" applyBorder="1"/>
    <xf numFmtId="1" fontId="30" fillId="0" borderId="28" xfId="0" applyNumberFormat="1" applyFont="1" applyFill="1" applyBorder="1" applyAlignment="1">
      <alignment horizontal="left"/>
    </xf>
    <xf numFmtId="164" fontId="31" fillId="0" borderId="28" xfId="0" applyNumberFormat="1" applyFont="1" applyFill="1" applyBorder="1"/>
    <xf numFmtId="164" fontId="30" fillId="2" borderId="29" xfId="0" applyNumberFormat="1" applyFont="1" applyFill="1" applyBorder="1"/>
    <xf numFmtId="164" fontId="31" fillId="0" borderId="18" xfId="0" applyNumberFormat="1" applyFon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center"/>
    </xf>
    <xf numFmtId="164" fontId="30" fillId="0" borderId="30" xfId="0" applyNumberFormat="1" applyFont="1" applyFill="1" applyBorder="1" applyAlignment="1">
      <alignment horizontal="left"/>
    </xf>
    <xf numFmtId="164" fontId="30" fillId="0" borderId="30" xfId="0" applyNumberFormat="1" applyFont="1" applyFill="1" applyBorder="1"/>
    <xf numFmtId="164" fontId="30" fillId="2" borderId="31" xfId="0" applyNumberFormat="1" applyFont="1" applyFill="1" applyBorder="1"/>
    <xf numFmtId="164" fontId="30" fillId="0" borderId="31" xfId="0" applyNumberFormat="1" applyFont="1" applyFill="1" applyBorder="1" applyAlignment="1">
      <alignment horizontal="center"/>
    </xf>
    <xf numFmtId="164" fontId="31" fillId="0" borderId="31" xfId="0" applyNumberFormat="1" applyFont="1" applyFill="1" applyBorder="1" applyAlignment="1">
      <alignment horizontal="center"/>
    </xf>
    <xf numFmtId="164" fontId="30" fillId="0" borderId="29" xfId="0" applyNumberFormat="1" applyFont="1" applyFill="1" applyBorder="1" applyAlignment="1">
      <alignment horizontal="center"/>
    </xf>
    <xf numFmtId="164" fontId="31" fillId="0" borderId="29" xfId="0" applyNumberFormat="1" applyFont="1" applyFill="1" applyBorder="1" applyAlignment="1">
      <alignment horizontal="center"/>
    </xf>
    <xf numFmtId="164" fontId="30" fillId="0" borderId="17" xfId="0" applyNumberFormat="1" applyFont="1" applyFill="1" applyBorder="1" applyAlignment="1">
      <alignment horizontal="left"/>
    </xf>
    <xf numFmtId="164" fontId="31" fillId="0" borderId="8" xfId="0" applyNumberFormat="1" applyFont="1" applyFill="1" applyBorder="1" applyAlignment="1">
      <alignment horizontal="center"/>
    </xf>
    <xf numFmtId="164" fontId="30" fillId="0" borderId="6" xfId="0" applyNumberFormat="1" applyFont="1" applyFill="1" applyBorder="1" applyAlignment="1">
      <alignment horizontal="left"/>
    </xf>
    <xf numFmtId="164" fontId="31" fillId="0" borderId="22" xfId="0" applyNumberFormat="1" applyFont="1" applyFill="1" applyBorder="1" applyAlignment="1">
      <alignment horizontal="center"/>
    </xf>
    <xf numFmtId="164" fontId="30" fillId="0" borderId="22" xfId="0" applyNumberFormat="1" applyFont="1" applyFill="1" applyBorder="1" applyAlignment="1" applyProtection="1">
      <alignment horizontal="center"/>
      <protection locked="0"/>
    </xf>
    <xf numFmtId="164" fontId="30" fillId="0" borderId="21" xfId="0" applyNumberFormat="1" applyFont="1" applyFill="1" applyBorder="1" applyAlignment="1" applyProtection="1">
      <alignment horizontal="center"/>
      <protection locked="0"/>
    </xf>
    <xf numFmtId="164" fontId="31" fillId="0" borderId="32" xfId="0" applyNumberFormat="1" applyFont="1" applyFill="1" applyBorder="1" applyAlignment="1">
      <alignment horizontal="center"/>
    </xf>
    <xf numFmtId="164" fontId="30" fillId="0" borderId="22" xfId="0" applyNumberFormat="1" applyFont="1" applyFill="1" applyBorder="1" applyAlignment="1">
      <alignment horizontal="center"/>
    </xf>
    <xf numFmtId="164" fontId="30" fillId="0" borderId="2" xfId="0" applyNumberFormat="1" applyFont="1" applyFill="1" applyBorder="1" applyAlignment="1">
      <alignment horizontal="left"/>
    </xf>
    <xf numFmtId="164" fontId="31" fillId="0" borderId="28" xfId="0" applyNumberFormat="1" applyFont="1" applyFill="1" applyBorder="1" applyAlignment="1">
      <alignment horizontal="left" vertical="center" wrapText="1"/>
    </xf>
    <xf numFmtId="164" fontId="30" fillId="0" borderId="29" xfId="0" applyNumberFormat="1" applyFont="1" applyFill="1" applyBorder="1" applyAlignment="1" applyProtection="1">
      <alignment horizontal="center"/>
      <protection locked="0"/>
    </xf>
    <xf numFmtId="164" fontId="30" fillId="0" borderId="28" xfId="0" applyNumberFormat="1" applyFont="1" applyFill="1" applyBorder="1" applyAlignment="1" applyProtection="1">
      <alignment horizontal="center"/>
      <protection locked="0"/>
    </xf>
    <xf numFmtId="164" fontId="31" fillId="0" borderId="33" xfId="0" applyNumberFormat="1" applyFont="1" applyFill="1" applyBorder="1" applyAlignment="1">
      <alignment horizontal="center"/>
    </xf>
    <xf numFmtId="164" fontId="30" fillId="0" borderId="2" xfId="0" applyNumberFormat="1" applyFont="1" applyFill="1" applyBorder="1" applyAlignment="1">
      <alignment horizontal="center"/>
    </xf>
    <xf numFmtId="164" fontId="31" fillId="0" borderId="2" xfId="0" applyNumberFormat="1" applyFont="1" applyFill="1" applyBorder="1" applyAlignment="1">
      <alignment horizontal="center"/>
    </xf>
    <xf numFmtId="164" fontId="30" fillId="0" borderId="26" xfId="0" applyNumberFormat="1" applyFont="1" applyFill="1" applyBorder="1" applyAlignment="1">
      <alignment horizontal="left"/>
    </xf>
    <xf numFmtId="164" fontId="31" fillId="0" borderId="30" xfId="0" applyNumberFormat="1" applyFont="1" applyFill="1" applyBorder="1"/>
    <xf numFmtId="164" fontId="30" fillId="0" borderId="31" xfId="0" applyNumberFormat="1" applyFont="1" applyFill="1" applyBorder="1" applyAlignment="1" applyProtection="1">
      <alignment horizontal="center"/>
      <protection locked="0"/>
    </xf>
    <xf numFmtId="164" fontId="30" fillId="0" borderId="30" xfId="0" applyNumberFormat="1" applyFont="1" applyFill="1" applyBorder="1" applyAlignment="1" applyProtection="1">
      <alignment horizontal="center"/>
      <protection locked="0"/>
    </xf>
    <xf numFmtId="164" fontId="31" fillId="0" borderId="34" xfId="0" applyNumberFormat="1" applyFont="1" applyFill="1" applyBorder="1" applyAlignment="1">
      <alignment horizontal="center"/>
    </xf>
    <xf numFmtId="164" fontId="31" fillId="0" borderId="26" xfId="0" applyNumberFormat="1" applyFont="1" applyFill="1" applyBorder="1" applyAlignment="1">
      <alignment horizontal="center"/>
    </xf>
    <xf numFmtId="164" fontId="30" fillId="0" borderId="27" xfId="0" applyNumberFormat="1" applyFont="1" applyFill="1" applyBorder="1" applyAlignment="1">
      <alignment horizontal="center"/>
    </xf>
    <xf numFmtId="164" fontId="31" fillId="0" borderId="35" xfId="0" applyNumberFormat="1" applyFont="1" applyFill="1" applyBorder="1" applyAlignment="1">
      <alignment horizontal="center"/>
    </xf>
    <xf numFmtId="164" fontId="30" fillId="0" borderId="25" xfId="0" applyNumberFormat="1" applyFont="1" applyFill="1" applyBorder="1" applyAlignment="1">
      <alignment horizontal="left"/>
    </xf>
    <xf numFmtId="164" fontId="31" fillId="0" borderId="36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left"/>
    </xf>
    <xf numFmtId="164" fontId="31" fillId="0" borderId="21" xfId="0" applyNumberFormat="1" applyFont="1" applyFill="1" applyBorder="1"/>
    <xf numFmtId="1" fontId="30" fillId="0" borderId="30" xfId="0" applyNumberFormat="1" applyFont="1" applyFill="1" applyBorder="1" applyAlignment="1">
      <alignment horizontal="left"/>
    </xf>
    <xf numFmtId="1" fontId="30" fillId="0" borderId="29" xfId="0" applyNumberFormat="1" applyFont="1" applyFill="1" applyBorder="1" applyAlignment="1">
      <alignment horizontal="left"/>
    </xf>
    <xf numFmtId="164" fontId="31" fillId="0" borderId="35" xfId="0" applyNumberFormat="1" applyFont="1" applyFill="1" applyBorder="1"/>
    <xf numFmtId="1" fontId="30" fillId="0" borderId="22" xfId="0" applyNumberFormat="1" applyFont="1" applyFill="1" applyBorder="1" applyAlignment="1">
      <alignment horizontal="left"/>
    </xf>
    <xf numFmtId="164" fontId="31" fillId="0" borderId="23" xfId="0" applyNumberFormat="1" applyFont="1" applyFill="1" applyBorder="1"/>
    <xf numFmtId="1" fontId="30" fillId="0" borderId="37" xfId="0" applyNumberFormat="1" applyFont="1" applyFill="1" applyBorder="1" applyAlignment="1">
      <alignment horizontal="left"/>
    </xf>
    <xf numFmtId="164" fontId="31" fillId="0" borderId="38" xfId="0" applyNumberFormat="1" applyFont="1" applyFill="1" applyBorder="1"/>
    <xf numFmtId="164" fontId="31" fillId="0" borderId="39" xfId="0" applyNumberFormat="1" applyFont="1" applyFill="1" applyBorder="1" applyAlignment="1">
      <alignment horizontal="center"/>
    </xf>
    <xf numFmtId="164" fontId="30" fillId="0" borderId="39" xfId="0" applyNumberFormat="1" applyFont="1" applyFill="1" applyBorder="1" applyAlignment="1" applyProtection="1">
      <alignment horizontal="center"/>
      <protection locked="0"/>
    </xf>
    <xf numFmtId="164" fontId="30" fillId="0" borderId="38" xfId="0" applyNumberFormat="1" applyFont="1" applyFill="1" applyBorder="1" applyAlignment="1" applyProtection="1">
      <alignment horizontal="center"/>
      <protection locked="0"/>
    </xf>
    <xf numFmtId="164" fontId="31" fillId="0" borderId="40" xfId="0" applyNumberFormat="1" applyFont="1" applyFill="1" applyBorder="1" applyAlignment="1">
      <alignment horizontal="center"/>
    </xf>
    <xf numFmtId="164" fontId="30" fillId="0" borderId="39" xfId="0" applyNumberFormat="1" applyFont="1" applyFill="1" applyBorder="1" applyAlignment="1">
      <alignment horizontal="center"/>
    </xf>
    <xf numFmtId="164" fontId="31" fillId="0" borderId="41" xfId="0" applyNumberFormat="1" applyFont="1" applyFill="1" applyBorder="1" applyAlignment="1">
      <alignment horizontal="center"/>
    </xf>
    <xf numFmtId="1" fontId="30" fillId="0" borderId="42" xfId="0" applyNumberFormat="1" applyFont="1" applyFill="1" applyBorder="1" applyAlignment="1">
      <alignment horizontal="left"/>
    </xf>
    <xf numFmtId="164" fontId="31" fillId="0" borderId="43" xfId="0" applyNumberFormat="1" applyFont="1" applyFill="1" applyBorder="1"/>
    <xf numFmtId="164" fontId="31" fillId="0" borderId="44" xfId="0" applyNumberFormat="1" applyFont="1" applyFill="1" applyBorder="1" applyAlignment="1">
      <alignment horizontal="center"/>
    </xf>
    <xf numFmtId="164" fontId="30" fillId="0" borderId="44" xfId="0" applyNumberFormat="1" applyFont="1" applyFill="1" applyBorder="1" applyAlignment="1" applyProtection="1">
      <alignment horizontal="center"/>
      <protection locked="0"/>
    </xf>
    <xf numFmtId="164" fontId="30" fillId="0" borderId="43" xfId="0" applyNumberFormat="1" applyFont="1" applyFill="1" applyBorder="1" applyAlignment="1" applyProtection="1">
      <alignment horizontal="center"/>
      <protection locked="0"/>
    </xf>
    <xf numFmtId="164" fontId="30" fillId="0" borderId="44" xfId="0" applyNumberFormat="1" applyFont="1" applyFill="1" applyBorder="1" applyAlignment="1">
      <alignment horizontal="center"/>
    </xf>
    <xf numFmtId="164" fontId="31" fillId="0" borderId="45" xfId="0" applyNumberFormat="1" applyFont="1" applyFill="1" applyBorder="1" applyAlignment="1">
      <alignment horizontal="center"/>
    </xf>
    <xf numFmtId="164" fontId="31" fillId="0" borderId="38" xfId="0" applyNumberFormat="1" applyFont="1" applyFill="1" applyBorder="1" applyAlignment="1">
      <alignment horizontal="left" vertical="center" wrapText="1"/>
    </xf>
    <xf numFmtId="164" fontId="33" fillId="0" borderId="43" xfId="0" applyNumberFormat="1" applyFont="1" applyFill="1" applyBorder="1"/>
    <xf numFmtId="164" fontId="30" fillId="2" borderId="46" xfId="0" applyNumberFormat="1" applyFont="1" applyFill="1" applyBorder="1"/>
    <xf numFmtId="164" fontId="31" fillId="2" borderId="47" xfId="0" applyNumberFormat="1" applyFont="1" applyFill="1" applyBorder="1"/>
    <xf numFmtId="164" fontId="30" fillId="2" borderId="48" xfId="0" applyNumberFormat="1" applyFont="1" applyFill="1" applyBorder="1"/>
    <xf numFmtId="164" fontId="31" fillId="2" borderId="47" xfId="0" applyNumberFormat="1" applyFont="1" applyFill="1" applyBorder="1" applyAlignment="1">
      <alignment horizontal="center"/>
    </xf>
    <xf numFmtId="164" fontId="31" fillId="2" borderId="46" xfId="0" applyNumberFormat="1" applyFont="1" applyFill="1" applyBorder="1" applyAlignment="1">
      <alignment horizontal="center"/>
    </xf>
    <xf numFmtId="164" fontId="31" fillId="2" borderId="55" xfId="0" applyNumberFormat="1" applyFont="1" applyFill="1" applyBorder="1" applyAlignment="1">
      <alignment horizontal="center"/>
    </xf>
    <xf numFmtId="164" fontId="31" fillId="2" borderId="8" xfId="0" applyNumberFormat="1" applyFont="1" applyFill="1" applyBorder="1" applyAlignment="1">
      <alignment horizontal="center"/>
    </xf>
    <xf numFmtId="164" fontId="31" fillId="0" borderId="15" xfId="0" applyNumberFormat="1" applyFont="1" applyFill="1" applyBorder="1"/>
    <xf numFmtId="164" fontId="30" fillId="2" borderId="16" xfId="0" applyNumberFormat="1" applyFont="1" applyFill="1" applyBorder="1"/>
    <xf numFmtId="164" fontId="31" fillId="0" borderId="20" xfId="0" applyNumberFormat="1" applyFont="1" applyFill="1" applyBorder="1" applyAlignment="1">
      <alignment horizontal="center"/>
    </xf>
    <xf numFmtId="164" fontId="31" fillId="0" borderId="16" xfId="0" applyNumberFormat="1" applyFont="1" applyFill="1" applyBorder="1" applyAlignment="1">
      <alignment horizontal="center"/>
    </xf>
    <xf numFmtId="164" fontId="30" fillId="0" borderId="19" xfId="0" applyNumberFormat="1" applyFont="1" applyFill="1" applyBorder="1"/>
    <xf numFmtId="164" fontId="30" fillId="2" borderId="18" xfId="0" applyNumberFormat="1" applyFont="1" applyFill="1" applyBorder="1"/>
    <xf numFmtId="49" fontId="30" fillId="0" borderId="19" xfId="0" applyNumberFormat="1" applyFont="1" applyFill="1" applyBorder="1"/>
    <xf numFmtId="164" fontId="30" fillId="0" borderId="10" xfId="0" applyNumberFormat="1" applyFont="1" applyFill="1" applyBorder="1"/>
    <xf numFmtId="164" fontId="30" fillId="0" borderId="10" xfId="0" applyNumberFormat="1" applyFont="1" applyFill="1" applyBorder="1" applyAlignment="1">
      <alignment horizontal="center"/>
    </xf>
    <xf numFmtId="164" fontId="30" fillId="0" borderId="17" xfId="0" applyNumberFormat="1" applyFont="1" applyFill="1" applyBorder="1"/>
    <xf numFmtId="0" fontId="32" fillId="0" borderId="20" xfId="0" applyFont="1" applyFill="1" applyBorder="1" applyAlignment="1">
      <alignment horizontal="center"/>
    </xf>
    <xf numFmtId="164" fontId="30" fillId="0" borderId="31" xfId="0" applyNumberFormat="1" applyFont="1" applyFill="1" applyBorder="1"/>
    <xf numFmtId="164" fontId="30" fillId="2" borderId="34" xfId="0" applyNumberFormat="1" applyFont="1" applyFill="1" applyBorder="1"/>
    <xf numFmtId="164" fontId="31" fillId="0" borderId="29" xfId="0" applyNumberFormat="1" applyFont="1" applyFill="1" applyBorder="1"/>
    <xf numFmtId="164" fontId="30" fillId="2" borderId="35" xfId="0" applyNumberFormat="1" applyFont="1" applyFill="1" applyBorder="1"/>
    <xf numFmtId="164" fontId="30" fillId="2" borderId="36" xfId="0" applyNumberFormat="1" applyFont="1" applyFill="1" applyBorder="1"/>
    <xf numFmtId="164" fontId="30" fillId="0" borderId="28" xfId="0" applyNumberFormat="1" applyFont="1" applyFill="1" applyBorder="1"/>
    <xf numFmtId="2" fontId="30" fillId="0" borderId="30" xfId="0" applyNumberFormat="1" applyFont="1" applyFill="1" applyBorder="1"/>
    <xf numFmtId="164" fontId="31" fillId="0" borderId="31" xfId="0" applyNumberFormat="1" applyFont="1" applyFill="1" applyBorder="1"/>
    <xf numFmtId="164" fontId="30" fillId="2" borderId="47" xfId="0" applyNumberFormat="1" applyFont="1" applyFill="1" applyBorder="1"/>
    <xf numFmtId="164" fontId="31" fillId="2" borderId="49" xfId="0" applyNumberFormat="1" applyFont="1" applyFill="1" applyBorder="1" applyAlignment="1">
      <alignment horizontal="center"/>
    </xf>
    <xf numFmtId="164" fontId="30" fillId="0" borderId="10" xfId="2" applyNumberFormat="1" applyFont="1" applyFill="1" applyBorder="1" applyAlignment="1" applyProtection="1">
      <alignment horizontal="center"/>
      <protection locked="0"/>
    </xf>
    <xf numFmtId="164" fontId="30" fillId="0" borderId="35" xfId="0" applyNumberFormat="1" applyFont="1" applyFill="1" applyBorder="1"/>
    <xf numFmtId="1" fontId="30" fillId="0" borderId="31" xfId="0" applyNumberFormat="1" applyFont="1" applyFill="1" applyBorder="1"/>
    <xf numFmtId="164" fontId="31" fillId="0" borderId="36" xfId="0" applyNumberFormat="1" applyFont="1" applyFill="1" applyBorder="1"/>
    <xf numFmtId="164" fontId="30" fillId="0" borderId="36" xfId="0" applyNumberFormat="1" applyFont="1" applyFill="1" applyBorder="1"/>
    <xf numFmtId="164" fontId="30" fillId="0" borderId="14" xfId="0" applyNumberFormat="1" applyFont="1" applyFill="1" applyBorder="1"/>
    <xf numFmtId="1" fontId="30" fillId="0" borderId="25" xfId="0" applyNumberFormat="1" applyFont="1" applyFill="1" applyBorder="1"/>
    <xf numFmtId="164" fontId="30" fillId="0" borderId="50" xfId="0" applyNumberFormat="1" applyFont="1" applyFill="1" applyBorder="1"/>
    <xf numFmtId="164" fontId="30" fillId="0" borderId="29" xfId="0" applyNumberFormat="1" applyFont="1" applyFill="1" applyBorder="1"/>
    <xf numFmtId="164" fontId="30" fillId="0" borderId="8" xfId="0" applyNumberFormat="1" applyFont="1" applyFill="1" applyBorder="1"/>
    <xf numFmtId="164" fontId="31" fillId="0" borderId="0" xfId="0" applyNumberFormat="1" applyFont="1" applyFill="1" applyBorder="1"/>
    <xf numFmtId="164" fontId="30" fillId="2" borderId="47" xfId="0" applyNumberFormat="1" applyFont="1" applyFill="1" applyBorder="1" applyAlignment="1">
      <alignment vertical="center"/>
    </xf>
    <xf numFmtId="164" fontId="31" fillId="2" borderId="47" xfId="0" applyNumberFormat="1" applyFont="1" applyFill="1" applyBorder="1" applyAlignment="1">
      <alignment wrapText="1"/>
    </xf>
    <xf numFmtId="164" fontId="31" fillId="2" borderId="47" xfId="0" applyNumberFormat="1" applyFont="1" applyFill="1" applyBorder="1" applyAlignment="1">
      <alignment horizontal="center" vertical="center"/>
    </xf>
    <xf numFmtId="164" fontId="31" fillId="0" borderId="3" xfId="0" applyNumberFormat="1" applyFont="1" applyFill="1" applyBorder="1"/>
    <xf numFmtId="164" fontId="30" fillId="2" borderId="24" xfId="0" applyNumberFormat="1" applyFont="1" applyFill="1" applyBorder="1"/>
    <xf numFmtId="164" fontId="30" fillId="0" borderId="3" xfId="0" applyNumberFormat="1" applyFont="1" applyFill="1" applyBorder="1"/>
    <xf numFmtId="164" fontId="30" fillId="0" borderId="3" xfId="0" applyNumberFormat="1" applyFont="1" applyFill="1" applyBorder="1" applyAlignment="1">
      <alignment horizontal="center"/>
    </xf>
    <xf numFmtId="164" fontId="30" fillId="0" borderId="91" xfId="0" applyNumberFormat="1" applyFont="1" applyFill="1" applyBorder="1" applyAlignment="1">
      <alignment horizontal="left"/>
    </xf>
    <xf numFmtId="164" fontId="31" fillId="0" borderId="92" xfId="0" applyNumberFormat="1" applyFont="1" applyFill="1" applyBorder="1"/>
    <xf numFmtId="164" fontId="30" fillId="2" borderId="92" xfId="0" applyNumberFormat="1" applyFont="1" applyFill="1" applyBorder="1"/>
    <xf numFmtId="164" fontId="31" fillId="0" borderId="92" xfId="0" applyNumberFormat="1" applyFont="1" applyFill="1" applyBorder="1" applyAlignment="1">
      <alignment horizontal="center"/>
    </xf>
    <xf numFmtId="164" fontId="31" fillId="0" borderId="49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  <xf numFmtId="164" fontId="34" fillId="0" borderId="0" xfId="0" applyNumberFormat="1" applyFont="1" applyFill="1" applyBorder="1"/>
    <xf numFmtId="164" fontId="34" fillId="0" borderId="0" xfId="0" applyNumberFormat="1" applyFont="1" applyFill="1"/>
    <xf numFmtId="164" fontId="30" fillId="0" borderId="0" xfId="0" applyNumberFormat="1" applyFont="1" applyFill="1"/>
    <xf numFmtId="164" fontId="30" fillId="0" borderId="33" xfId="0" applyNumberFormat="1" applyFont="1" applyFill="1" applyBorder="1"/>
    <xf numFmtId="164" fontId="30" fillId="0" borderId="22" xfId="0" applyNumberFormat="1" applyFont="1" applyFill="1" applyBorder="1"/>
    <xf numFmtId="164" fontId="30" fillId="0" borderId="0" xfId="0" applyNumberFormat="1" applyFont="1" applyFill="1" applyBorder="1"/>
    <xf numFmtId="164" fontId="30" fillId="0" borderId="7" xfId="0" applyNumberFormat="1" applyFont="1" applyFill="1" applyBorder="1"/>
    <xf numFmtId="164" fontId="31" fillId="0" borderId="7" xfId="0" applyNumberFormat="1" applyFont="1" applyFill="1" applyBorder="1" applyAlignment="1">
      <alignment horizontal="center"/>
    </xf>
    <xf numFmtId="164" fontId="30" fillId="0" borderId="15" xfId="0" applyNumberFormat="1" applyFont="1" applyFill="1" applyBorder="1"/>
    <xf numFmtId="164" fontId="31" fillId="0" borderId="14" xfId="0" applyNumberFormat="1" applyFont="1" applyFill="1" applyBorder="1"/>
    <xf numFmtId="164" fontId="30" fillId="0" borderId="15" xfId="0" applyNumberFormat="1" applyFont="1" applyFill="1" applyBorder="1" applyAlignment="1">
      <alignment horizontal="center"/>
    </xf>
    <xf numFmtId="164" fontId="30" fillId="0" borderId="16" xfId="0" applyNumberFormat="1" applyFont="1" applyFill="1" applyBorder="1"/>
    <xf numFmtId="164" fontId="30" fillId="0" borderId="26" xfId="0" applyNumberFormat="1" applyFont="1" applyFill="1" applyBorder="1" applyAlignment="1">
      <alignment horizontal="center"/>
    </xf>
    <xf numFmtId="164" fontId="31" fillId="0" borderId="52" xfId="0" applyNumberFormat="1" applyFont="1" applyFill="1" applyBorder="1" applyAlignment="1">
      <alignment horizontal="center"/>
    </xf>
    <xf numFmtId="164" fontId="30" fillId="0" borderId="52" xfId="0" applyNumberFormat="1" applyFont="1" applyFill="1" applyBorder="1"/>
    <xf numFmtId="164" fontId="30" fillId="0" borderId="34" xfId="0" applyNumberFormat="1" applyFont="1" applyFill="1" applyBorder="1"/>
    <xf numFmtId="164" fontId="30" fillId="0" borderId="15" xfId="0" applyNumberFormat="1" applyFont="1" applyFill="1" applyBorder="1" applyAlignment="1">
      <alignment horizontal="left"/>
    </xf>
    <xf numFmtId="164" fontId="30" fillId="0" borderId="29" xfId="0" applyNumberFormat="1" applyFont="1" applyFill="1" applyBorder="1" applyAlignment="1">
      <alignment horizontal="left"/>
    </xf>
    <xf numFmtId="164" fontId="30" fillId="0" borderId="28" xfId="0" applyNumberFormat="1" applyFont="1" applyFill="1" applyBorder="1" applyAlignment="1">
      <alignment horizontal="center"/>
    </xf>
    <xf numFmtId="164" fontId="30" fillId="0" borderId="33" xfId="0" applyNumberFormat="1" applyFont="1" applyFill="1" applyBorder="1" applyAlignment="1">
      <alignment horizontal="center"/>
    </xf>
    <xf numFmtId="164" fontId="30" fillId="0" borderId="19" xfId="0" applyNumberFormat="1" applyFont="1" applyFill="1" applyBorder="1" applyAlignment="1">
      <alignment horizontal="center"/>
    </xf>
    <xf numFmtId="164" fontId="30" fillId="0" borderId="2" xfId="0" applyNumberFormat="1" applyFont="1" applyFill="1" applyBorder="1"/>
    <xf numFmtId="164" fontId="31" fillId="0" borderId="53" xfId="0" applyNumberFormat="1" applyFont="1" applyFill="1" applyBorder="1"/>
    <xf numFmtId="164" fontId="31" fillId="0" borderId="24" xfId="0" applyNumberFormat="1" applyFont="1" applyFill="1" applyBorder="1"/>
    <xf numFmtId="164" fontId="30" fillId="0" borderId="4" xfId="0" applyNumberFormat="1" applyFont="1" applyFill="1" applyBorder="1" applyAlignment="1">
      <alignment horizontal="center"/>
    </xf>
    <xf numFmtId="164" fontId="31" fillId="0" borderId="54" xfId="0" applyNumberFormat="1" applyFont="1" applyFill="1" applyBorder="1" applyAlignment="1">
      <alignment horizontal="center"/>
    </xf>
    <xf numFmtId="164" fontId="31" fillId="0" borderId="53" xfId="0" applyNumberFormat="1" applyFont="1" applyFill="1" applyBorder="1" applyAlignment="1">
      <alignment vertical="center"/>
    </xf>
    <xf numFmtId="164" fontId="31" fillId="0" borderId="28" xfId="0" applyNumberFormat="1" applyFont="1" applyFill="1" applyBorder="1" applyAlignment="1">
      <alignment horizontal="center"/>
    </xf>
    <xf numFmtId="164" fontId="30" fillId="0" borderId="9" xfId="0" applyNumberFormat="1" applyFont="1" applyFill="1" applyBorder="1"/>
    <xf numFmtId="164" fontId="30" fillId="0" borderId="17" xfId="0" applyNumberFormat="1" applyFont="1" applyFill="1" applyBorder="1" applyAlignment="1">
      <alignment horizontal="center"/>
    </xf>
    <xf numFmtId="164" fontId="30" fillId="0" borderId="23" xfId="0" applyNumberFormat="1" applyFont="1" applyFill="1" applyBorder="1"/>
    <xf numFmtId="164" fontId="30" fillId="0" borderId="21" xfId="0" applyNumberFormat="1" applyFont="1" applyFill="1" applyBorder="1" applyAlignment="1">
      <alignment horizontal="center"/>
    </xf>
    <xf numFmtId="164" fontId="30" fillId="0" borderId="20" xfId="0" applyNumberFormat="1" applyFont="1" applyFill="1" applyBorder="1"/>
    <xf numFmtId="164" fontId="30" fillId="0" borderId="20" xfId="0" applyNumberFormat="1" applyFont="1" applyFill="1" applyBorder="1" applyAlignment="1">
      <alignment horizontal="center"/>
    </xf>
    <xf numFmtId="164" fontId="31" fillId="0" borderId="20" xfId="0" applyNumberFormat="1" applyFont="1" applyFill="1" applyBorder="1"/>
    <xf numFmtId="164" fontId="31" fillId="6" borderId="20" xfId="0" applyNumberFormat="1" applyFont="1" applyFill="1" applyBorder="1" applyAlignment="1">
      <alignment horizontal="center"/>
    </xf>
    <xf numFmtId="164" fontId="31" fillId="6" borderId="15" xfId="0" applyNumberFormat="1" applyFont="1" applyFill="1" applyBorder="1" applyAlignment="1">
      <alignment horizontal="center"/>
    </xf>
    <xf numFmtId="164" fontId="30" fillId="6" borderId="20" xfId="0" applyNumberFormat="1" applyFont="1" applyFill="1" applyBorder="1" applyAlignment="1">
      <alignment horizontal="center"/>
    </xf>
    <xf numFmtId="164" fontId="30" fillId="6" borderId="29" xfId="0" applyNumberFormat="1" applyFont="1" applyFill="1" applyBorder="1" applyAlignment="1">
      <alignment horizontal="center"/>
    </xf>
    <xf numFmtId="164" fontId="30" fillId="0" borderId="9" xfId="0" applyNumberFormat="1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32" fillId="0" borderId="0" xfId="0" applyFont="1" applyFill="1" applyAlignment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164" fontId="31" fillId="0" borderId="27" xfId="0" applyNumberFormat="1" applyFont="1" applyFill="1" applyBorder="1" applyAlignment="1">
      <alignment wrapText="1"/>
    </xf>
    <xf numFmtId="164" fontId="31" fillId="0" borderId="25" xfId="0" applyNumberFormat="1" applyFont="1" applyFill="1" applyBorder="1" applyAlignment="1">
      <alignment wrapText="1"/>
    </xf>
    <xf numFmtId="164" fontId="31" fillId="0" borderId="35" xfId="0" applyNumberFormat="1" applyFont="1" applyFill="1" applyBorder="1" applyAlignment="1">
      <alignment wrapText="1"/>
    </xf>
    <xf numFmtId="164" fontId="31" fillId="0" borderId="28" xfId="0" applyNumberFormat="1" applyFont="1" applyFill="1" applyBorder="1" applyAlignment="1">
      <alignment wrapText="1"/>
    </xf>
    <xf numFmtId="164" fontId="31" fillId="0" borderId="21" xfId="0" applyNumberFormat="1" applyFont="1" applyFill="1" applyBorder="1" applyAlignment="1">
      <alignment wrapText="1"/>
    </xf>
    <xf numFmtId="0" fontId="31" fillId="10" borderId="0" xfId="0" applyFont="1" applyFill="1"/>
    <xf numFmtId="0" fontId="31" fillId="10" borderId="0" xfId="0" applyFont="1" applyFill="1" applyAlignment="1">
      <alignment horizontal="center"/>
    </xf>
    <xf numFmtId="0" fontId="31" fillId="10" borderId="1" xfId="0" applyFont="1" applyFill="1" applyBorder="1" applyAlignment="1">
      <alignment horizontal="center" vertical="center" wrapText="1"/>
    </xf>
    <xf numFmtId="164" fontId="31" fillId="10" borderId="2" xfId="0" applyNumberFormat="1" applyFont="1" applyFill="1" applyBorder="1" applyAlignment="1">
      <alignment horizontal="center" vertical="center" wrapText="1"/>
    </xf>
    <xf numFmtId="164" fontId="31" fillId="10" borderId="15" xfId="0" applyNumberFormat="1" applyFont="1" applyFill="1" applyBorder="1" applyAlignment="1">
      <alignment horizontal="center"/>
    </xf>
    <xf numFmtId="164" fontId="31" fillId="10" borderId="10" xfId="0" applyNumberFormat="1" applyFont="1" applyFill="1" applyBorder="1" applyAlignment="1">
      <alignment horizontal="center"/>
    </xf>
    <xf numFmtId="164" fontId="31" fillId="10" borderId="22" xfId="0" applyNumberFormat="1" applyFont="1" applyFill="1" applyBorder="1" applyAlignment="1">
      <alignment horizontal="center"/>
    </xf>
    <xf numFmtId="164" fontId="31" fillId="10" borderId="47" xfId="0" applyNumberFormat="1" applyFont="1" applyFill="1" applyBorder="1" applyAlignment="1">
      <alignment horizontal="center" vertical="center"/>
    </xf>
    <xf numFmtId="164" fontId="34" fillId="10" borderId="0" xfId="0" applyNumberFormat="1" applyFont="1" applyFill="1" applyBorder="1"/>
    <xf numFmtId="164" fontId="34" fillId="10" borderId="0" xfId="0" applyNumberFormat="1" applyFont="1" applyFill="1"/>
    <xf numFmtId="164" fontId="31" fillId="10" borderId="20" xfId="0" applyNumberFormat="1" applyFont="1" applyFill="1" applyBorder="1" applyAlignment="1">
      <alignment horizontal="center"/>
    </xf>
    <xf numFmtId="0" fontId="32" fillId="10" borderId="0" xfId="0" applyFont="1" applyFill="1" applyAlignment="1"/>
    <xf numFmtId="0" fontId="32" fillId="10" borderId="0" xfId="0" applyFont="1" applyFill="1"/>
    <xf numFmtId="0" fontId="0" fillId="10" borderId="0" xfId="0" applyFill="1"/>
    <xf numFmtId="0" fontId="30" fillId="10" borderId="0" xfId="0" applyFont="1" applyFill="1"/>
    <xf numFmtId="0" fontId="30" fillId="10" borderId="0" xfId="0" applyFont="1" applyFill="1" applyAlignment="1">
      <alignment horizontal="center"/>
    </xf>
    <xf numFmtId="0" fontId="31" fillId="10" borderId="2" xfId="0" applyFont="1" applyFill="1" applyBorder="1" applyAlignment="1">
      <alignment horizontal="center" vertical="center" wrapText="1"/>
    </xf>
    <xf numFmtId="164" fontId="31" fillId="10" borderId="27" xfId="0" applyNumberFormat="1" applyFont="1" applyFill="1" applyBorder="1" applyAlignment="1">
      <alignment horizontal="center" vertical="center" wrapText="1"/>
    </xf>
    <xf numFmtId="164" fontId="31" fillId="10" borderId="87" xfId="0" applyNumberFormat="1" applyFont="1" applyFill="1" applyBorder="1" applyAlignment="1">
      <alignment horizontal="center"/>
    </xf>
    <xf numFmtId="164" fontId="30" fillId="10" borderId="10" xfId="0" applyNumberFormat="1" applyFont="1" applyFill="1" applyBorder="1" applyAlignment="1" applyProtection="1">
      <alignment horizontal="center"/>
      <protection locked="0"/>
    </xf>
    <xf numFmtId="164" fontId="31" fillId="10" borderId="55" xfId="0" applyNumberFormat="1" applyFont="1" applyFill="1" applyBorder="1" applyAlignment="1">
      <alignment horizontal="center"/>
    </xf>
    <xf numFmtId="164" fontId="31" fillId="10" borderId="49" xfId="0" applyNumberFormat="1" applyFont="1" applyFill="1" applyBorder="1" applyAlignment="1">
      <alignment horizontal="center"/>
    </xf>
    <xf numFmtId="164" fontId="30" fillId="10" borderId="10" xfId="2" applyNumberFormat="1" applyFont="1" applyFill="1" applyBorder="1" applyAlignment="1" applyProtection="1">
      <alignment horizontal="center"/>
      <protection locked="0"/>
    </xf>
    <xf numFmtId="164" fontId="31" fillId="10" borderId="93" xfId="0" applyNumberFormat="1" applyFont="1" applyFill="1" applyBorder="1" applyAlignment="1">
      <alignment horizontal="center" vertical="center" wrapText="1"/>
    </xf>
    <xf numFmtId="164" fontId="30" fillId="10" borderId="20" xfId="0" applyNumberFormat="1" applyFont="1" applyFill="1" applyBorder="1" applyAlignment="1">
      <alignment horizontal="center"/>
    </xf>
    <xf numFmtId="165" fontId="34" fillId="10" borderId="0" xfId="1" applyNumberFormat="1" applyFont="1" applyFill="1" applyBorder="1" applyAlignment="1" applyProtection="1"/>
    <xf numFmtId="0" fontId="8" fillId="10" borderId="0" xfId="0" applyFont="1" applyFill="1"/>
    <xf numFmtId="0" fontId="9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164" fontId="8" fillId="10" borderId="2" xfId="0" applyNumberFormat="1" applyFont="1" applyFill="1" applyBorder="1" applyAlignment="1">
      <alignment horizontal="center" vertical="center" wrapText="1"/>
    </xf>
    <xf numFmtId="164" fontId="8" fillId="10" borderId="11" xfId="0" applyNumberFormat="1" applyFont="1" applyFill="1" applyBorder="1" applyAlignment="1">
      <alignment horizontal="center" vertical="center" wrapText="1"/>
    </xf>
    <xf numFmtId="164" fontId="8" fillId="10" borderId="15" xfId="0" applyNumberFormat="1" applyFont="1" applyFill="1" applyBorder="1" applyAlignment="1">
      <alignment horizontal="center"/>
    </xf>
    <xf numFmtId="164" fontId="8" fillId="10" borderId="10" xfId="0" applyNumberFormat="1" applyFont="1" applyFill="1" applyBorder="1" applyAlignment="1">
      <alignment horizontal="center"/>
    </xf>
    <xf numFmtId="164" fontId="8" fillId="10" borderId="22" xfId="0" applyNumberFormat="1" applyFont="1" applyFill="1" applyBorder="1" applyAlignment="1">
      <alignment horizontal="center"/>
    </xf>
    <xf numFmtId="164" fontId="8" fillId="10" borderId="3" xfId="0" applyNumberFormat="1" applyFont="1" applyFill="1" applyBorder="1" applyAlignment="1">
      <alignment horizontal="center"/>
    </xf>
    <xf numFmtId="164" fontId="8" fillId="10" borderId="29" xfId="0" applyNumberFormat="1" applyFont="1" applyFill="1" applyBorder="1" applyAlignment="1">
      <alignment horizontal="center"/>
    </xf>
    <xf numFmtId="164" fontId="8" fillId="10" borderId="31" xfId="0" applyNumberFormat="1" applyFont="1" applyFill="1" applyBorder="1" applyAlignment="1">
      <alignment horizontal="center"/>
    </xf>
    <xf numFmtId="164" fontId="8" fillId="10" borderId="39" xfId="0" applyNumberFormat="1" applyFont="1" applyFill="1" applyBorder="1" applyAlignment="1">
      <alignment horizontal="center"/>
    </xf>
    <xf numFmtId="164" fontId="8" fillId="10" borderId="44" xfId="0" applyNumberFormat="1" applyFont="1" applyFill="1" applyBorder="1" applyAlignment="1">
      <alignment horizontal="center"/>
    </xf>
    <xf numFmtId="164" fontId="8" fillId="10" borderId="47" xfId="0" applyNumberFormat="1" applyFont="1" applyFill="1" applyBorder="1" applyAlignment="1">
      <alignment horizontal="center"/>
    </xf>
    <xf numFmtId="164" fontId="8" fillId="10" borderId="47" xfId="0" applyNumberFormat="1" applyFont="1" applyFill="1" applyBorder="1" applyAlignment="1">
      <alignment horizontal="center" vertical="center"/>
    </xf>
    <xf numFmtId="164" fontId="8" fillId="10" borderId="93" xfId="0" applyNumberFormat="1" applyFont="1" applyFill="1" applyBorder="1" applyAlignment="1">
      <alignment horizontal="center" vertical="center" wrapText="1"/>
    </xf>
    <xf numFmtId="164" fontId="8" fillId="10" borderId="92" xfId="0" applyNumberFormat="1" applyFont="1" applyFill="1" applyBorder="1" applyAlignment="1">
      <alignment horizontal="center"/>
    </xf>
    <xf numFmtId="164" fontId="13" fillId="10" borderId="0" xfId="0" applyNumberFormat="1" applyFont="1" applyFill="1" applyBorder="1"/>
    <xf numFmtId="165" fontId="13" fillId="10" borderId="0" xfId="1" applyNumberFormat="1" applyFont="1" applyFill="1" applyBorder="1" applyAlignment="1" applyProtection="1"/>
    <xf numFmtId="164" fontId="13" fillId="10" borderId="0" xfId="0" applyNumberFormat="1" applyFont="1" applyFill="1"/>
    <xf numFmtId="164" fontId="8" fillId="10" borderId="20" xfId="0" applyNumberFormat="1" applyFont="1" applyFill="1" applyBorder="1" applyAlignment="1">
      <alignment horizontal="center"/>
    </xf>
    <xf numFmtId="0" fontId="5" fillId="10" borderId="0" xfId="0" applyFont="1" applyFill="1" applyAlignment="1"/>
    <xf numFmtId="0" fontId="5" fillId="10" borderId="0" xfId="0" applyFont="1" applyFill="1"/>
    <xf numFmtId="0" fontId="7" fillId="10" borderId="0" xfId="0" applyFont="1" applyFill="1"/>
    <xf numFmtId="0" fontId="7" fillId="10" borderId="0" xfId="0" applyFont="1" applyFill="1" applyAlignment="1">
      <alignment horizontal="center"/>
    </xf>
    <xf numFmtId="0" fontId="8" fillId="10" borderId="2" xfId="0" applyFont="1" applyFill="1" applyBorder="1" applyAlignment="1">
      <alignment horizontal="center" vertical="center" wrapText="1"/>
    </xf>
    <xf numFmtId="164" fontId="8" fillId="10" borderId="27" xfId="0" applyNumberFormat="1" applyFont="1" applyFill="1" applyBorder="1" applyAlignment="1">
      <alignment horizontal="center" vertical="center" wrapText="1"/>
    </xf>
    <xf numFmtId="164" fontId="4" fillId="10" borderId="87" xfId="0" applyNumberFormat="1" applyFont="1" applyFill="1" applyBorder="1" applyAlignment="1">
      <alignment horizontal="center"/>
    </xf>
    <xf numFmtId="164" fontId="8" fillId="10" borderId="55" xfId="0" applyNumberFormat="1" applyFont="1" applyFill="1" applyBorder="1" applyAlignment="1">
      <alignment horizontal="center"/>
    </xf>
    <xf numFmtId="164" fontId="7" fillId="10" borderId="20" xfId="0" applyNumberFormat="1" applyFont="1" applyFill="1" applyBorder="1" applyAlignment="1" applyProtection="1">
      <alignment horizontal="center"/>
      <protection locked="0"/>
    </xf>
    <xf numFmtId="164" fontId="7" fillId="10" borderId="10" xfId="0" applyNumberFormat="1" applyFont="1" applyFill="1" applyBorder="1" applyAlignment="1" applyProtection="1">
      <alignment horizontal="center"/>
      <protection locked="0"/>
    </xf>
    <xf numFmtId="164" fontId="7" fillId="10" borderId="20" xfId="0" applyNumberFormat="1" applyFont="1" applyFill="1" applyBorder="1" applyAlignment="1">
      <alignment horizontal="center"/>
    </xf>
    <xf numFmtId="164" fontId="8" fillId="10" borderId="53" xfId="0" applyNumberFormat="1" applyFont="1" applyFill="1" applyBorder="1" applyAlignment="1">
      <alignment horizontal="center" vertical="center" wrapText="1"/>
    </xf>
    <xf numFmtId="164" fontId="8" fillId="10" borderId="8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64" fontId="8" fillId="10" borderId="18" xfId="0" applyNumberFormat="1" applyFont="1" applyFill="1" applyBorder="1" applyAlignment="1">
      <alignment horizontal="center"/>
    </xf>
    <xf numFmtId="164" fontId="8" fillId="10" borderId="16" xfId="0" applyNumberFormat="1" applyFont="1" applyFill="1" applyBorder="1" applyAlignment="1">
      <alignment horizontal="center"/>
    </xf>
    <xf numFmtId="164" fontId="31" fillId="10" borderId="20" xfId="0" applyNumberFormat="1" applyFont="1" applyFill="1" applyBorder="1" applyAlignment="1">
      <alignment horizontal="center" vertical="center" wrapText="1"/>
    </xf>
    <xf numFmtId="164" fontId="30" fillId="10" borderId="20" xfId="0" applyNumberFormat="1" applyFont="1" applyFill="1" applyBorder="1" applyAlignment="1" applyProtection="1">
      <alignment horizontal="center"/>
      <protection locked="0"/>
    </xf>
    <xf numFmtId="164" fontId="31" fillId="10" borderId="53" xfId="0" applyNumberFormat="1" applyFont="1" applyFill="1" applyBorder="1" applyAlignment="1">
      <alignment horizontal="center" vertical="center" wrapText="1"/>
    </xf>
    <xf numFmtId="164" fontId="31" fillId="10" borderId="8" xfId="0" applyNumberFormat="1" applyFont="1" applyFill="1" applyBorder="1" applyAlignment="1">
      <alignment horizontal="center"/>
    </xf>
    <xf numFmtId="164" fontId="31" fillId="10" borderId="18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/>
    </xf>
    <xf numFmtId="164" fontId="2" fillId="10" borderId="56" xfId="0" applyNumberFormat="1" applyFont="1" applyFill="1" applyBorder="1" applyAlignment="1">
      <alignment horizontal="center" vertical="center" wrapText="1"/>
    </xf>
    <xf numFmtId="164" fontId="8" fillId="10" borderId="12" xfId="0" applyNumberFormat="1" applyFont="1" applyFill="1" applyBorder="1" applyAlignment="1">
      <alignment horizontal="center" vertical="center" wrapText="1"/>
    </xf>
    <xf numFmtId="164" fontId="8" fillId="10" borderId="17" xfId="0" applyNumberFormat="1" applyFont="1" applyFill="1" applyBorder="1" applyAlignment="1">
      <alignment horizontal="center"/>
    </xf>
    <xf numFmtId="164" fontId="7" fillId="10" borderId="17" xfId="0" applyNumberFormat="1" applyFont="1" applyFill="1" applyBorder="1" applyAlignment="1" applyProtection="1">
      <alignment horizontal="center"/>
      <protection locked="0"/>
    </xf>
    <xf numFmtId="164" fontId="7" fillId="10" borderId="22" xfId="0" applyNumberFormat="1" applyFont="1" applyFill="1" applyBorder="1" applyAlignment="1" applyProtection="1">
      <alignment horizontal="center"/>
      <protection locked="0"/>
    </xf>
    <xf numFmtId="164" fontId="7" fillId="10" borderId="21" xfId="0" applyNumberFormat="1" applyFont="1" applyFill="1" applyBorder="1" applyAlignment="1" applyProtection="1">
      <alignment horizontal="center"/>
      <protection locked="0"/>
    </xf>
    <xf numFmtId="164" fontId="8" fillId="10" borderId="4" xfId="0" applyNumberFormat="1" applyFont="1" applyFill="1" applyBorder="1" applyAlignment="1">
      <alignment horizontal="center"/>
    </xf>
    <xf numFmtId="164" fontId="7" fillId="10" borderId="29" xfId="0" applyNumberFormat="1" applyFont="1" applyFill="1" applyBorder="1" applyAlignment="1" applyProtection="1">
      <alignment horizontal="center"/>
      <protection locked="0"/>
    </xf>
    <xf numFmtId="164" fontId="7" fillId="10" borderId="28" xfId="0" applyNumberFormat="1" applyFont="1" applyFill="1" applyBorder="1" applyAlignment="1" applyProtection="1">
      <alignment horizontal="center"/>
      <protection locked="0"/>
    </xf>
    <xf numFmtId="164" fontId="7" fillId="10" borderId="31" xfId="0" applyNumberFormat="1" applyFont="1" applyFill="1" applyBorder="1" applyAlignment="1" applyProtection="1">
      <alignment horizontal="center"/>
      <protection locked="0"/>
    </xf>
    <xf numFmtId="164" fontId="7" fillId="10" borderId="30" xfId="0" applyNumberFormat="1" applyFont="1" applyFill="1" applyBorder="1" applyAlignment="1" applyProtection="1">
      <alignment horizontal="center"/>
      <protection locked="0"/>
    </xf>
    <xf numFmtId="164" fontId="7" fillId="10" borderId="39" xfId="0" applyNumberFormat="1" applyFont="1" applyFill="1" applyBorder="1" applyAlignment="1" applyProtection="1">
      <alignment horizontal="center"/>
      <protection locked="0"/>
    </xf>
    <xf numFmtId="164" fontId="7" fillId="10" borderId="38" xfId="0" applyNumberFormat="1" applyFont="1" applyFill="1" applyBorder="1" applyAlignment="1" applyProtection="1">
      <alignment horizontal="center"/>
      <protection locked="0"/>
    </xf>
    <xf numFmtId="164" fontId="7" fillId="10" borderId="44" xfId="0" applyNumberFormat="1" applyFont="1" applyFill="1" applyBorder="1" applyAlignment="1" applyProtection="1">
      <alignment horizontal="center"/>
      <protection locked="0"/>
    </xf>
    <xf numFmtId="164" fontId="7" fillId="10" borderId="43" xfId="0" applyNumberFormat="1" applyFont="1" applyFill="1" applyBorder="1" applyAlignment="1" applyProtection="1">
      <alignment horizontal="center"/>
      <protection locked="0"/>
    </xf>
    <xf numFmtId="164" fontId="8" fillId="10" borderId="46" xfId="0" applyNumberFormat="1" applyFont="1" applyFill="1" applyBorder="1" applyAlignment="1">
      <alignment horizontal="center"/>
    </xf>
    <xf numFmtId="164" fontId="2" fillId="10" borderId="89" xfId="0" applyNumberFormat="1" applyFont="1" applyFill="1" applyBorder="1" applyAlignment="1">
      <alignment horizontal="center"/>
    </xf>
    <xf numFmtId="164" fontId="7" fillId="10" borderId="29" xfId="0" applyNumberFormat="1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164" fontId="2" fillId="10" borderId="90" xfId="0" applyNumberFormat="1" applyFont="1" applyFill="1" applyBorder="1" applyAlignment="1">
      <alignment horizontal="center"/>
    </xf>
    <xf numFmtId="1" fontId="30" fillId="2" borderId="6" xfId="0" applyNumberFormat="1" applyFont="1" applyFill="1" applyBorder="1" applyAlignment="1">
      <alignment horizontal="left"/>
    </xf>
    <xf numFmtId="164" fontId="31" fillId="2" borderId="6" xfId="0" applyNumberFormat="1" applyFont="1" applyFill="1" applyBorder="1"/>
    <xf numFmtId="164" fontId="30" fillId="2" borderId="15" xfId="0" applyNumberFormat="1" applyFont="1" applyFill="1" applyBorder="1" applyAlignment="1" applyProtection="1">
      <alignment horizontal="center"/>
      <protection locked="0"/>
    </xf>
    <xf numFmtId="164" fontId="30" fillId="2" borderId="19" xfId="0" applyNumberFormat="1" applyFont="1" applyFill="1" applyBorder="1" applyAlignment="1" applyProtection="1">
      <alignment horizontal="center"/>
      <protection locked="0"/>
    </xf>
    <xf numFmtId="164" fontId="31" fillId="2" borderId="14" xfId="0" applyNumberFormat="1" applyFont="1" applyFill="1" applyBorder="1" applyAlignment="1">
      <alignment horizontal="center"/>
    </xf>
    <xf numFmtId="0" fontId="0" fillId="2" borderId="0" xfId="0" applyFill="1"/>
    <xf numFmtId="164" fontId="30" fillId="2" borderId="25" xfId="0" applyNumberFormat="1" applyFont="1" applyFill="1" applyBorder="1"/>
    <xf numFmtId="164" fontId="31" fillId="2" borderId="25" xfId="0" applyNumberFormat="1" applyFont="1" applyFill="1" applyBorder="1"/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35" fillId="6" borderId="0" xfId="0" applyFont="1" applyFill="1"/>
    <xf numFmtId="0" fontId="36" fillId="6" borderId="0" xfId="0" applyFont="1" applyFill="1"/>
    <xf numFmtId="0" fontId="31" fillId="6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164" fontId="31" fillId="2" borderId="96" xfId="0" applyNumberFormat="1" applyFont="1" applyFill="1" applyBorder="1" applyAlignment="1">
      <alignment horizontal="center" vertical="center" wrapText="1"/>
    </xf>
    <xf numFmtId="164" fontId="31" fillId="2" borderId="95" xfId="0" applyNumberFormat="1" applyFont="1" applyFill="1" applyBorder="1" applyAlignment="1">
      <alignment horizontal="center"/>
    </xf>
    <xf numFmtId="164" fontId="31" fillId="2" borderId="96" xfId="0" applyNumberFormat="1" applyFont="1" applyFill="1" applyBorder="1" applyAlignment="1">
      <alignment horizontal="center"/>
    </xf>
    <xf numFmtId="164" fontId="31" fillId="2" borderId="94" xfId="0" applyNumberFormat="1" applyFont="1" applyFill="1" applyBorder="1" applyAlignment="1">
      <alignment horizontal="center"/>
    </xf>
    <xf numFmtId="164" fontId="31" fillId="2" borderId="103" xfId="0" applyNumberFormat="1" applyFont="1" applyFill="1" applyBorder="1" applyAlignment="1">
      <alignment horizontal="center"/>
    </xf>
    <xf numFmtId="164" fontId="31" fillId="0" borderId="96" xfId="0" applyNumberFormat="1" applyFont="1" applyFill="1" applyBorder="1" applyAlignment="1">
      <alignment horizontal="center"/>
    </xf>
    <xf numFmtId="164" fontId="31" fillId="0" borderId="94" xfId="0" applyNumberFormat="1" applyFont="1" applyFill="1" applyBorder="1" applyAlignment="1">
      <alignment horizontal="center"/>
    </xf>
    <xf numFmtId="164" fontId="31" fillId="0" borderId="95" xfId="0" applyNumberFormat="1" applyFont="1" applyFill="1" applyBorder="1" applyAlignment="1">
      <alignment horizontal="center"/>
    </xf>
    <xf numFmtId="164" fontId="31" fillId="0" borderId="105" xfId="0" applyNumberFormat="1" applyFont="1" applyFill="1" applyBorder="1" applyAlignment="1">
      <alignment horizontal="center"/>
    </xf>
    <xf numFmtId="164" fontId="31" fillId="0" borderId="102" xfId="0" applyNumberFormat="1" applyFont="1" applyFill="1" applyBorder="1" applyAlignment="1">
      <alignment horizontal="center"/>
    </xf>
    <xf numFmtId="164" fontId="31" fillId="0" borderId="107" xfId="0" applyNumberFormat="1" applyFont="1" applyFill="1" applyBorder="1" applyAlignment="1">
      <alignment horizontal="center"/>
    </xf>
    <xf numFmtId="164" fontId="7" fillId="0" borderId="95" xfId="0" applyNumberFormat="1" applyFont="1" applyFill="1" applyBorder="1" applyAlignment="1" applyProtection="1">
      <alignment horizontal="center"/>
      <protection locked="0"/>
    </xf>
    <xf numFmtId="164" fontId="31" fillId="0" borderId="111" xfId="0" applyNumberFormat="1" applyFont="1" applyFill="1" applyBorder="1" applyAlignment="1">
      <alignment horizontal="center"/>
    </xf>
    <xf numFmtId="164" fontId="31" fillId="0" borderId="112" xfId="0" applyNumberFormat="1" applyFont="1" applyFill="1" applyBorder="1" applyAlignment="1">
      <alignment horizontal="center"/>
    </xf>
    <xf numFmtId="1" fontId="7" fillId="0" borderId="95" xfId="0" applyNumberFormat="1" applyFont="1" applyFill="1" applyBorder="1" applyAlignment="1" applyProtection="1">
      <alignment horizontal="center"/>
      <protection locked="0"/>
    </xf>
    <xf numFmtId="164" fontId="31" fillId="0" borderId="105" xfId="0" applyNumberFormat="1" applyFont="1" applyFill="1" applyBorder="1"/>
    <xf numFmtId="164" fontId="8" fillId="2" borderId="6" xfId="0" applyNumberFormat="1" applyFont="1" applyFill="1" applyBorder="1" applyAlignment="1">
      <alignment horizontal="left" vertical="center"/>
    </xf>
    <xf numFmtId="164" fontId="8" fillId="2" borderId="94" xfId="0" applyNumberFormat="1" applyFont="1" applyFill="1" applyBorder="1"/>
    <xf numFmtId="164" fontId="7" fillId="2" borderId="95" xfId="0" applyNumberFormat="1" applyFont="1" applyFill="1" applyBorder="1" applyAlignment="1">
      <alignment horizontal="left" vertical="center" wrapText="1"/>
    </xf>
    <xf numFmtId="164" fontId="8" fillId="2" borderId="96" xfId="0" applyNumberFormat="1" applyFont="1" applyFill="1" applyBorder="1" applyAlignment="1">
      <alignment horizontal="center" vertical="center" wrapText="1"/>
    </xf>
    <xf numFmtId="164" fontId="8" fillId="2" borderId="97" xfId="0" applyNumberFormat="1" applyFont="1" applyFill="1" applyBorder="1" applyAlignment="1">
      <alignment horizontal="center" vertical="center" wrapText="1"/>
    </xf>
    <xf numFmtId="164" fontId="8" fillId="10" borderId="20" xfId="0" applyNumberFormat="1" applyFont="1" applyFill="1" applyBorder="1" applyAlignment="1">
      <alignment horizontal="center" vertical="center" wrapText="1"/>
    </xf>
    <xf numFmtId="164" fontId="8" fillId="2" borderId="98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/>
    <xf numFmtId="164" fontId="7" fillId="2" borderId="94" xfId="0" applyNumberFormat="1" applyFont="1" applyFill="1" applyBorder="1"/>
    <xf numFmtId="164" fontId="7" fillId="2" borderId="95" xfId="0" applyNumberFormat="1" applyFont="1" applyFill="1" applyBorder="1"/>
    <xf numFmtId="164" fontId="8" fillId="2" borderId="95" xfId="0" applyNumberFormat="1" applyFont="1" applyFill="1" applyBorder="1" applyAlignment="1">
      <alignment horizontal="center"/>
    </xf>
    <xf numFmtId="164" fontId="8" fillId="2" borderId="99" xfId="0" applyNumberFormat="1" applyFont="1" applyFill="1" applyBorder="1" applyAlignment="1">
      <alignment horizontal="center"/>
    </xf>
    <xf numFmtId="164" fontId="8" fillId="2" borderId="100" xfId="0" applyNumberFormat="1" applyFont="1" applyFill="1" applyBorder="1" applyAlignment="1">
      <alignment horizontal="center"/>
    </xf>
    <xf numFmtId="164" fontId="7" fillId="2" borderId="99" xfId="0" applyNumberFormat="1" applyFont="1" applyFill="1" applyBorder="1"/>
    <xf numFmtId="164" fontId="7" fillId="2" borderId="95" xfId="0" applyNumberFormat="1" applyFont="1" applyFill="1" applyBorder="1" applyAlignment="1" applyProtection="1">
      <alignment horizontal="center"/>
      <protection locked="0"/>
    </xf>
    <xf numFmtId="164" fontId="7" fillId="2" borderId="99" xfId="0" applyNumberFormat="1" applyFont="1" applyFill="1" applyBorder="1" applyAlignment="1" applyProtection="1">
      <alignment horizontal="center"/>
      <protection locked="0"/>
    </xf>
    <xf numFmtId="164" fontId="8" fillId="10" borderId="87" xfId="0" applyNumberFormat="1" applyFont="1" applyFill="1" applyBorder="1" applyAlignment="1">
      <alignment horizontal="center"/>
    </xf>
    <xf numFmtId="164" fontId="7" fillId="2" borderId="95" xfId="0" applyNumberFormat="1" applyFont="1" applyFill="1" applyBorder="1" applyAlignment="1">
      <alignment horizontal="center"/>
    </xf>
    <xf numFmtId="164" fontId="8" fillId="2" borderId="96" xfId="0" applyNumberFormat="1" applyFont="1" applyFill="1" applyBorder="1" applyAlignment="1">
      <alignment horizontal="center"/>
    </xf>
    <xf numFmtId="164" fontId="8" fillId="2" borderId="94" xfId="0" applyNumberFormat="1" applyFont="1" applyFill="1" applyBorder="1" applyAlignment="1">
      <alignment horizontal="center"/>
    </xf>
    <xf numFmtId="164" fontId="7" fillId="2" borderId="96" xfId="0" applyNumberFormat="1" applyFont="1" applyFill="1" applyBorder="1" applyAlignment="1">
      <alignment horizontal="center"/>
    </xf>
    <xf numFmtId="164" fontId="7" fillId="2" borderId="101" xfId="0" applyNumberFormat="1" applyFont="1" applyFill="1" applyBorder="1"/>
    <xf numFmtId="164" fontId="7" fillId="2" borderId="102" xfId="0" applyNumberFormat="1" applyFont="1" applyFill="1" applyBorder="1"/>
    <xf numFmtId="164" fontId="7" fillId="2" borderId="102" xfId="0" applyNumberFormat="1" applyFont="1" applyFill="1" applyBorder="1" applyAlignment="1" applyProtection="1">
      <alignment horizontal="center"/>
      <protection locked="0"/>
    </xf>
    <xf numFmtId="164" fontId="7" fillId="2" borderId="101" xfId="0" applyNumberFormat="1" applyFont="1" applyFill="1" applyBorder="1" applyAlignment="1" applyProtection="1">
      <alignment horizontal="center"/>
      <protection locked="0"/>
    </xf>
    <xf numFmtId="164" fontId="8" fillId="2" borderId="103" xfId="0" applyNumberFormat="1" applyFont="1" applyFill="1" applyBorder="1" applyAlignment="1">
      <alignment horizontal="center"/>
    </xf>
    <xf numFmtId="164" fontId="7" fillId="0" borderId="96" xfId="0" applyNumberFormat="1" applyFont="1" applyFill="1" applyBorder="1" applyAlignment="1">
      <alignment horizontal="center"/>
    </xf>
    <xf numFmtId="164" fontId="8" fillId="0" borderId="96" xfId="0" applyNumberFormat="1" applyFont="1" applyFill="1" applyBorder="1" applyAlignment="1">
      <alignment horizontal="center"/>
    </xf>
    <xf numFmtId="164" fontId="8" fillId="2" borderId="6" xfId="0" applyNumberFormat="1" applyFont="1" applyFill="1" applyBorder="1"/>
    <xf numFmtId="164" fontId="8" fillId="2" borderId="25" xfId="0" applyNumberFormat="1" applyFont="1" applyFill="1" applyBorder="1"/>
    <xf numFmtId="164" fontId="8" fillId="0" borderId="6" xfId="0" applyNumberFormat="1" applyFont="1" applyFill="1" applyBorder="1"/>
    <xf numFmtId="164" fontId="7" fillId="0" borderId="99" xfId="0" applyNumberFormat="1" applyFont="1" applyFill="1" applyBorder="1" applyAlignment="1" applyProtection="1">
      <alignment horizontal="center"/>
      <protection locked="0"/>
    </xf>
    <xf numFmtId="164" fontId="8" fillId="0" borderId="94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wrapText="1"/>
    </xf>
    <xf numFmtId="164" fontId="8" fillId="0" borderId="25" xfId="0" applyNumberFormat="1" applyFont="1" applyFill="1" applyBorder="1" applyAlignment="1">
      <alignment wrapText="1"/>
    </xf>
    <xf numFmtId="164" fontId="8" fillId="0" borderId="27" xfId="0" applyNumberFormat="1" applyFont="1" applyFill="1" applyBorder="1"/>
    <xf numFmtId="164" fontId="8" fillId="0" borderId="25" xfId="0" applyNumberFormat="1" applyFont="1" applyFill="1" applyBorder="1"/>
    <xf numFmtId="164" fontId="8" fillId="0" borderId="4" xfId="0" applyNumberFormat="1" applyFont="1" applyFill="1" applyBorder="1" applyAlignment="1">
      <alignment horizontal="left" wrapText="1"/>
    </xf>
    <xf numFmtId="164" fontId="8" fillId="0" borderId="19" xfId="0" applyNumberFormat="1" applyFont="1" applyFill="1" applyBorder="1"/>
    <xf numFmtId="164" fontId="7" fillId="0" borderId="101" xfId="0" applyNumberFormat="1" applyFont="1" applyFill="1" applyBorder="1"/>
    <xf numFmtId="164" fontId="8" fillId="0" borderId="99" xfId="0" applyNumberFormat="1" applyFont="1" applyFill="1" applyBorder="1"/>
    <xf numFmtId="164" fontId="8" fillId="0" borderId="28" xfId="0" applyNumberFormat="1" applyFont="1" applyFill="1" applyBorder="1"/>
    <xf numFmtId="164" fontId="8" fillId="0" borderId="100" xfId="0" applyNumberFormat="1" applyFont="1" applyFill="1" applyBorder="1" applyAlignment="1">
      <alignment horizontal="center"/>
    </xf>
    <xf numFmtId="164" fontId="8" fillId="0" borderId="95" xfId="0" applyNumberFormat="1" applyFont="1" applyFill="1" applyBorder="1" applyAlignment="1">
      <alignment horizontal="center"/>
    </xf>
    <xf numFmtId="164" fontId="7" fillId="0" borderId="104" xfId="0" applyNumberFormat="1" applyFont="1" applyFill="1" applyBorder="1" applyAlignment="1">
      <alignment horizontal="left"/>
    </xf>
    <xf numFmtId="164" fontId="7" fillId="0" borderId="104" xfId="0" applyNumberFormat="1" applyFont="1" applyFill="1" applyBorder="1"/>
    <xf numFmtId="164" fontId="7" fillId="2" borderId="105" xfId="0" applyNumberFormat="1" applyFont="1" applyFill="1" applyBorder="1"/>
    <xf numFmtId="164" fontId="7" fillId="0" borderId="105" xfId="0" applyNumberFormat="1" applyFont="1" applyFill="1" applyBorder="1" applyAlignment="1">
      <alignment horizontal="center"/>
    </xf>
    <xf numFmtId="164" fontId="8" fillId="0" borderId="105" xfId="0" applyNumberFormat="1" applyFont="1" applyFill="1" applyBorder="1" applyAlignment="1">
      <alignment horizontal="center"/>
    </xf>
    <xf numFmtId="164" fontId="7" fillId="10" borderId="95" xfId="0" applyNumberFormat="1" applyFont="1" applyFill="1" applyBorder="1" applyAlignment="1" applyProtection="1">
      <alignment horizontal="center"/>
      <protection locked="0"/>
    </xf>
    <xf numFmtId="164" fontId="7" fillId="0" borderId="99" xfId="0" applyNumberFormat="1" applyFont="1" applyFill="1" applyBorder="1" applyAlignment="1">
      <alignment horizontal="left"/>
    </xf>
    <xf numFmtId="164" fontId="7" fillId="0" borderId="102" xfId="0" applyNumberFormat="1" applyFont="1" applyFill="1" applyBorder="1" applyAlignment="1" applyProtection="1">
      <alignment horizontal="center"/>
      <protection locked="0"/>
    </xf>
    <xf numFmtId="164" fontId="7" fillId="0" borderId="101" xfId="0" applyNumberFormat="1" applyFont="1" applyFill="1" applyBorder="1" applyAlignment="1" applyProtection="1">
      <alignment horizontal="center"/>
      <protection locked="0"/>
    </xf>
    <xf numFmtId="164" fontId="8" fillId="0" borderId="106" xfId="0" applyNumberFormat="1" applyFont="1" applyFill="1" applyBorder="1" applyAlignment="1">
      <alignment horizontal="center"/>
    </xf>
    <xf numFmtId="164" fontId="7" fillId="0" borderId="102" xfId="0" applyNumberFormat="1" applyFont="1" applyFill="1" applyBorder="1" applyAlignment="1">
      <alignment horizontal="center"/>
    </xf>
    <xf numFmtId="164" fontId="8" fillId="0" borderId="102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left" vertical="center" wrapText="1"/>
    </xf>
    <xf numFmtId="164" fontId="8" fillId="10" borderId="2" xfId="0" applyNumberFormat="1" applyFont="1" applyFill="1" applyBorder="1" applyAlignment="1">
      <alignment horizontal="center" wrapText="1"/>
    </xf>
    <xf numFmtId="164" fontId="8" fillId="0" borderId="104" xfId="0" applyNumberFormat="1" applyFont="1" applyFill="1" applyBorder="1"/>
    <xf numFmtId="164" fontId="7" fillId="0" borderId="105" xfId="0" applyNumberFormat="1" applyFont="1" applyFill="1" applyBorder="1" applyAlignment="1" applyProtection="1">
      <alignment horizontal="center"/>
      <protection locked="0"/>
    </xf>
    <xf numFmtId="164" fontId="7" fillId="0" borderId="104" xfId="0" applyNumberFormat="1" applyFont="1" applyFill="1" applyBorder="1" applyAlignment="1" applyProtection="1">
      <alignment horizontal="center"/>
      <protection locked="0"/>
    </xf>
    <xf numFmtId="164" fontId="8" fillId="0" borderId="107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>
      <alignment horizontal="center"/>
    </xf>
    <xf numFmtId="1" fontId="7" fillId="0" borderId="101" xfId="0" applyNumberFormat="1" applyFont="1" applyFill="1" applyBorder="1" applyAlignment="1">
      <alignment horizontal="left"/>
    </xf>
    <xf numFmtId="164" fontId="8" fillId="0" borderId="101" xfId="0" applyNumberFormat="1" applyFont="1" applyFill="1" applyBorder="1"/>
    <xf numFmtId="1" fontId="7" fillId="0" borderId="104" xfId="0" applyNumberFormat="1" applyFont="1" applyFill="1" applyBorder="1" applyAlignment="1">
      <alignment horizontal="left"/>
    </xf>
    <xf numFmtId="164" fontId="8" fillId="0" borderId="28" xfId="0" applyNumberFormat="1" applyFont="1" applyFill="1" applyBorder="1" applyAlignment="1">
      <alignment wrapText="1"/>
    </xf>
    <xf numFmtId="164" fontId="8" fillId="0" borderId="101" xfId="0" applyNumberFormat="1" applyFont="1" applyFill="1" applyBorder="1" applyAlignment="1">
      <alignment wrapText="1"/>
    </xf>
    <xf numFmtId="164" fontId="8" fillId="0" borderId="35" xfId="0" applyNumberFormat="1" applyFont="1" applyFill="1" applyBorder="1" applyAlignment="1">
      <alignment wrapText="1"/>
    </xf>
    <xf numFmtId="1" fontId="7" fillId="0" borderId="102" xfId="0" applyNumberFormat="1" applyFont="1" applyFill="1" applyBorder="1" applyAlignment="1">
      <alignment horizontal="left"/>
    </xf>
    <xf numFmtId="164" fontId="8" fillId="0" borderId="103" xfId="0" applyNumberFormat="1" applyFont="1" applyFill="1" applyBorder="1"/>
    <xf numFmtId="164" fontId="8" fillId="0" borderId="38" xfId="0" applyNumberFormat="1" applyFont="1" applyFill="1" applyBorder="1"/>
    <xf numFmtId="1" fontId="7" fillId="0" borderId="109" xfId="0" applyNumberFormat="1" applyFont="1" applyFill="1" applyBorder="1" applyAlignment="1">
      <alignment horizontal="left"/>
    </xf>
    <xf numFmtId="164" fontId="8" fillId="0" borderId="110" xfId="0" applyNumberFormat="1" applyFont="1" applyFill="1" applyBorder="1"/>
    <xf numFmtId="164" fontId="7" fillId="0" borderId="111" xfId="0" applyNumberFormat="1" applyFont="1" applyFill="1" applyBorder="1" applyAlignment="1" applyProtection="1">
      <alignment horizontal="center"/>
      <protection locked="0"/>
    </xf>
    <xf numFmtId="164" fontId="7" fillId="0" borderId="110" xfId="0" applyNumberFormat="1" applyFont="1" applyFill="1" applyBorder="1" applyAlignment="1" applyProtection="1">
      <alignment horizontal="center"/>
      <protection locked="0"/>
    </xf>
    <xf numFmtId="164" fontId="7" fillId="0" borderId="111" xfId="0" applyNumberFormat="1" applyFont="1" applyFill="1" applyBorder="1" applyAlignment="1">
      <alignment horizontal="center"/>
    </xf>
    <xf numFmtId="164" fontId="8" fillId="0" borderId="111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left" vertical="center" wrapText="1"/>
    </xf>
    <xf numFmtId="164" fontId="37" fillId="0" borderId="110" xfId="0" applyNumberFormat="1" applyFont="1" applyFill="1" applyBorder="1"/>
    <xf numFmtId="164" fontId="8" fillId="2" borderId="47" xfId="0" applyNumberFormat="1" applyFont="1" applyFill="1" applyBorder="1"/>
    <xf numFmtId="164" fontId="8" fillId="0" borderId="15" xfId="0" applyNumberFormat="1" applyFont="1" applyFill="1" applyBorder="1"/>
    <xf numFmtId="164" fontId="7" fillId="2" borderId="100" xfId="0" applyNumberFormat="1" applyFont="1" applyFill="1" applyBorder="1"/>
    <xf numFmtId="164" fontId="7" fillId="0" borderId="95" xfId="0" applyNumberFormat="1" applyFont="1" applyFill="1" applyBorder="1"/>
    <xf numFmtId="164" fontId="7" fillId="0" borderId="95" xfId="0" applyNumberFormat="1" applyFont="1" applyFill="1" applyBorder="1" applyAlignment="1">
      <alignment horizontal="center"/>
    </xf>
    <xf numFmtId="164" fontId="7" fillId="0" borderId="99" xfId="0" applyNumberFormat="1" applyFont="1" applyFill="1" applyBorder="1"/>
    <xf numFmtId="164" fontId="7" fillId="0" borderId="105" xfId="0" applyNumberFormat="1" applyFont="1" applyFill="1" applyBorder="1"/>
    <xf numFmtId="164" fontId="7" fillId="2" borderId="107" xfId="0" applyNumberFormat="1" applyFont="1" applyFill="1" applyBorder="1"/>
    <xf numFmtId="164" fontId="7" fillId="2" borderId="108" xfId="0" applyNumberFormat="1" applyFont="1" applyFill="1" applyBorder="1"/>
    <xf numFmtId="2" fontId="7" fillId="0" borderId="104" xfId="0" applyNumberFormat="1" applyFont="1" applyFill="1" applyBorder="1"/>
    <xf numFmtId="164" fontId="8" fillId="0" borderId="105" xfId="0" applyNumberFormat="1" applyFont="1" applyFill="1" applyBorder="1"/>
    <xf numFmtId="164" fontId="8" fillId="10" borderId="49" xfId="0" applyNumberFormat="1" applyFont="1" applyFill="1" applyBorder="1" applyAlignment="1">
      <alignment horizontal="center"/>
    </xf>
    <xf numFmtId="164" fontId="7" fillId="10" borderId="95" xfId="2" applyNumberFormat="1" applyFont="1" applyFill="1" applyBorder="1" applyAlignment="1" applyProtection="1">
      <alignment horizontal="center"/>
      <protection locked="0"/>
    </xf>
    <xf numFmtId="164" fontId="7" fillId="0" borderId="95" xfId="2" applyNumberFormat="1" applyFont="1" applyFill="1" applyBorder="1" applyAlignment="1" applyProtection="1">
      <alignment horizontal="center"/>
      <protection locked="0"/>
    </xf>
    <xf numFmtId="1" fontId="7" fillId="0" borderId="105" xfId="0" applyNumberFormat="1" applyFont="1" applyFill="1" applyBorder="1"/>
    <xf numFmtId="164" fontId="8" fillId="0" borderId="108" xfId="0" applyNumberFormat="1" applyFont="1" applyFill="1" applyBorder="1"/>
    <xf numFmtId="164" fontId="7" fillId="0" borderId="108" xfId="0" applyNumberFormat="1" applyFont="1" applyFill="1" applyBorder="1"/>
    <xf numFmtId="164" fontId="8" fillId="2" borderId="47" xfId="0" applyNumberFormat="1" applyFont="1" applyFill="1" applyBorder="1" applyAlignment="1">
      <alignment wrapText="1"/>
    </xf>
    <xf numFmtId="164" fontId="8" fillId="0" borderId="3" xfId="0" applyNumberFormat="1" applyFont="1" applyFill="1" applyBorder="1"/>
    <xf numFmtId="164" fontId="8" fillId="0" borderId="92" xfId="0" applyNumberFormat="1" applyFont="1" applyFill="1" applyBorder="1"/>
    <xf numFmtId="164" fontId="8" fillId="10" borderId="95" xfId="0" applyNumberFormat="1" applyFont="1" applyFill="1" applyBorder="1" applyAlignment="1">
      <alignment horizontal="center"/>
    </xf>
    <xf numFmtId="164" fontId="7" fillId="0" borderId="102" xfId="0" applyNumberFormat="1" applyFont="1" applyFill="1" applyBorder="1"/>
    <xf numFmtId="164" fontId="7" fillId="0" borderId="107" xfId="0" applyNumberFormat="1" applyFont="1" applyFill="1" applyBorder="1"/>
    <xf numFmtId="164" fontId="8" fillId="0" borderId="53" xfId="0" applyNumberFormat="1" applyFont="1" applyFill="1" applyBorder="1"/>
    <xf numFmtId="164" fontId="8" fillId="0" borderId="24" xfId="0" applyNumberFormat="1" applyFont="1" applyFill="1" applyBorder="1"/>
    <xf numFmtId="164" fontId="8" fillId="0" borderId="53" xfId="0" applyNumberFormat="1" applyFont="1" applyFill="1" applyBorder="1" applyAlignment="1">
      <alignment vertical="center"/>
    </xf>
    <xf numFmtId="164" fontId="7" fillId="0" borderId="94" xfId="0" applyNumberFormat="1" applyFont="1" applyFill="1" applyBorder="1"/>
    <xf numFmtId="164" fontId="7" fillId="0" borderId="99" xfId="0" applyNumberFormat="1" applyFont="1" applyFill="1" applyBorder="1" applyAlignment="1">
      <alignment horizontal="center"/>
    </xf>
    <xf numFmtId="164" fontId="7" fillId="0" borderId="103" xfId="0" applyNumberFormat="1" applyFont="1" applyFill="1" applyBorder="1"/>
    <xf numFmtId="164" fontId="8" fillId="10" borderId="102" xfId="0" applyNumberFormat="1" applyFont="1" applyFill="1" applyBorder="1" applyAlignment="1">
      <alignment horizontal="center"/>
    </xf>
    <xf numFmtId="164" fontId="7" fillId="0" borderId="101" xfId="0" applyNumberFormat="1" applyFont="1" applyFill="1" applyBorder="1" applyAlignment="1">
      <alignment horizontal="center"/>
    </xf>
    <xf numFmtId="164" fontId="8" fillId="10" borderId="100" xfId="0" applyNumberFormat="1" applyFont="1" applyFill="1" applyBorder="1" applyAlignment="1">
      <alignment horizontal="center"/>
    </xf>
    <xf numFmtId="164" fontId="7" fillId="0" borderId="94" xfId="0" applyNumberFormat="1" applyFont="1" applyFill="1" applyBorder="1" applyAlignment="1">
      <alignment horizontal="center"/>
    </xf>
    <xf numFmtId="164" fontId="8" fillId="0" borderId="103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31" fillId="0" borderId="75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164" fontId="30" fillId="2" borderId="20" xfId="0" applyNumberFormat="1" applyFont="1" applyFill="1" applyBorder="1" applyAlignment="1">
      <alignment horizontal="center" vertical="center"/>
    </xf>
    <xf numFmtId="164" fontId="31" fillId="2" borderId="20" xfId="0" applyNumberFormat="1" applyFont="1" applyFill="1" applyBorder="1" applyAlignment="1">
      <alignment horizontal="left" vertical="center"/>
    </xf>
    <xf numFmtId="164" fontId="30" fillId="2" borderId="82" xfId="0" applyNumberFormat="1" applyFont="1" applyFill="1" applyBorder="1" applyAlignment="1">
      <alignment horizontal="center" vertical="center"/>
    </xf>
    <xf numFmtId="164" fontId="31" fillId="2" borderId="70" xfId="0" applyNumberFormat="1" applyFont="1" applyFill="1" applyBorder="1" applyAlignment="1">
      <alignment horizontal="center" vertical="center" wrapText="1"/>
    </xf>
    <xf numFmtId="164" fontId="31" fillId="2" borderId="65" xfId="0" applyNumberFormat="1" applyFont="1" applyFill="1" applyBorder="1" applyAlignment="1">
      <alignment horizontal="center" vertical="center" wrapText="1"/>
    </xf>
    <xf numFmtId="164" fontId="31" fillId="2" borderId="84" xfId="0" applyNumberFormat="1" applyFont="1" applyFill="1" applyBorder="1" applyAlignment="1">
      <alignment horizontal="center" vertical="center" wrapText="1"/>
    </xf>
    <xf numFmtId="164" fontId="31" fillId="2" borderId="83" xfId="0" applyNumberFormat="1" applyFont="1" applyFill="1" applyBorder="1" applyAlignment="1">
      <alignment horizontal="center" vertical="center" wrapText="1"/>
    </xf>
    <xf numFmtId="164" fontId="31" fillId="2" borderId="82" xfId="0" applyNumberFormat="1" applyFont="1" applyFill="1" applyBorder="1" applyAlignment="1">
      <alignment horizontal="center" vertical="center" wrapText="1"/>
    </xf>
    <xf numFmtId="164" fontId="31" fillId="2" borderId="78" xfId="0" applyNumberFormat="1" applyFont="1" applyFill="1" applyBorder="1" applyAlignment="1">
      <alignment horizontal="center" vertical="center" wrapText="1"/>
    </xf>
    <xf numFmtId="164" fontId="30" fillId="0" borderId="82" xfId="0" applyNumberFormat="1" applyFont="1" applyFill="1" applyBorder="1" applyAlignment="1">
      <alignment horizontal="left" vertical="center" wrapText="1"/>
    </xf>
    <xf numFmtId="164" fontId="31" fillId="2" borderId="68" xfId="0" applyNumberFormat="1" applyFont="1" applyFill="1" applyBorder="1" applyAlignment="1">
      <alignment horizontal="center" vertical="center" wrapText="1"/>
    </xf>
    <xf numFmtId="164" fontId="31" fillId="0" borderId="20" xfId="0" applyNumberFormat="1" applyFont="1" applyFill="1" applyBorder="1" applyAlignment="1">
      <alignment horizontal="center" vertical="center" wrapText="1"/>
    </xf>
    <xf numFmtId="164" fontId="31" fillId="2" borderId="85" xfId="0" applyNumberFormat="1" applyFont="1" applyFill="1" applyBorder="1" applyAlignment="1">
      <alignment horizontal="center" vertical="center" wrapText="1"/>
    </xf>
    <xf numFmtId="164" fontId="31" fillId="0" borderId="83" xfId="0" applyNumberFormat="1" applyFont="1" applyFill="1" applyBorder="1" applyAlignment="1">
      <alignment horizontal="center" vertical="center" wrapText="1"/>
    </xf>
    <xf numFmtId="164" fontId="31" fillId="2" borderId="80" xfId="0" applyNumberFormat="1" applyFont="1" applyFill="1" applyBorder="1" applyAlignment="1">
      <alignment horizontal="center" vertical="center" wrapText="1"/>
    </xf>
    <xf numFmtId="164" fontId="30" fillId="0" borderId="82" xfId="0" applyNumberFormat="1" applyFont="1" applyFill="1" applyBorder="1"/>
    <xf numFmtId="164" fontId="31" fillId="0" borderId="83" xfId="0" applyNumberFormat="1" applyFont="1" applyFill="1" applyBorder="1" applyAlignment="1">
      <alignment horizontal="center"/>
    </xf>
    <xf numFmtId="164" fontId="31" fillId="0" borderId="82" xfId="0" applyNumberFormat="1" applyFont="1" applyFill="1" applyBorder="1" applyAlignment="1">
      <alignment horizontal="center"/>
    </xf>
    <xf numFmtId="167" fontId="30" fillId="0" borderId="83" xfId="0" applyNumberFormat="1" applyFont="1" applyFill="1" applyBorder="1" applyAlignment="1" applyProtection="1">
      <alignment horizontal="center"/>
      <protection locked="0"/>
    </xf>
    <xf numFmtId="164" fontId="30" fillId="0" borderId="83" xfId="0" applyNumberFormat="1" applyFont="1" applyFill="1" applyBorder="1" applyAlignment="1" applyProtection="1">
      <alignment horizontal="center"/>
      <protection locked="0"/>
    </xf>
    <xf numFmtId="1" fontId="30" fillId="2" borderId="20" xfId="0" applyNumberFormat="1" applyFont="1" applyFill="1" applyBorder="1" applyAlignment="1">
      <alignment horizontal="left"/>
    </xf>
    <xf numFmtId="164" fontId="31" fillId="2" borderId="20" xfId="0" applyNumberFormat="1" applyFont="1" applyFill="1" applyBorder="1"/>
    <xf numFmtId="164" fontId="30" fillId="2" borderId="82" xfId="0" applyNumberFormat="1" applyFont="1" applyFill="1" applyBorder="1"/>
    <xf numFmtId="164" fontId="30" fillId="2" borderId="83" xfId="0" applyNumberFormat="1" applyFont="1" applyFill="1" applyBorder="1" applyAlignment="1" applyProtection="1">
      <alignment horizontal="center"/>
      <protection locked="0"/>
    </xf>
    <xf numFmtId="164" fontId="30" fillId="2" borderId="82" xfId="0" applyNumberFormat="1" applyFont="1" applyFill="1" applyBorder="1" applyAlignment="1" applyProtection="1">
      <alignment horizontal="center"/>
      <protection locked="0"/>
    </xf>
    <xf numFmtId="164" fontId="30" fillId="2" borderId="20" xfId="0" applyNumberFormat="1" applyFont="1" applyFill="1" applyBorder="1" applyAlignment="1">
      <alignment horizontal="center"/>
    </xf>
    <xf numFmtId="164" fontId="30" fillId="2" borderId="20" xfId="0" applyNumberFormat="1" applyFont="1" applyFill="1" applyBorder="1"/>
    <xf numFmtId="164" fontId="30" fillId="3" borderId="20" xfId="0" applyNumberFormat="1" applyFont="1" applyFill="1" applyBorder="1"/>
    <xf numFmtId="164" fontId="31" fillId="3" borderId="20" xfId="0" applyNumberFormat="1" applyFont="1" applyFill="1" applyBorder="1"/>
    <xf numFmtId="164" fontId="30" fillId="3" borderId="82" xfId="0" applyNumberFormat="1" applyFont="1" applyFill="1" applyBorder="1"/>
    <xf numFmtId="164" fontId="30" fillId="3" borderId="83" xfId="0" applyNumberFormat="1" applyFont="1" applyFill="1" applyBorder="1" applyAlignment="1" applyProtection="1">
      <alignment horizontal="center"/>
      <protection locked="0"/>
    </xf>
    <xf numFmtId="164" fontId="30" fillId="3" borderId="82" xfId="0" applyNumberFormat="1" applyFont="1" applyFill="1" applyBorder="1" applyAlignment="1" applyProtection="1">
      <alignment horizontal="center"/>
      <protection locked="0"/>
    </xf>
    <xf numFmtId="164" fontId="30" fillId="3" borderId="20" xfId="0" applyNumberFormat="1" applyFont="1" applyFill="1" applyBorder="1" applyAlignment="1" applyProtection="1">
      <alignment horizontal="center"/>
      <protection locked="0"/>
    </xf>
    <xf numFmtId="164" fontId="31" fillId="3" borderId="20" xfId="0" applyNumberFormat="1" applyFont="1" applyFill="1" applyBorder="1" applyAlignment="1">
      <alignment horizontal="left" wrapText="1"/>
    </xf>
    <xf numFmtId="1" fontId="30" fillId="0" borderId="20" xfId="0" applyNumberFormat="1" applyFont="1" applyFill="1" applyBorder="1" applyAlignment="1">
      <alignment horizontal="left"/>
    </xf>
    <xf numFmtId="164" fontId="30" fillId="0" borderId="20" xfId="0" applyNumberFormat="1" applyFont="1" applyFill="1" applyBorder="1" applyAlignment="1">
      <alignment horizontal="left"/>
    </xf>
    <xf numFmtId="164" fontId="31" fillId="0" borderId="20" xfId="0" applyNumberFormat="1" applyFont="1" applyFill="1" applyBorder="1" applyAlignment="1">
      <alignment horizontal="left" vertical="center" wrapText="1"/>
    </xf>
    <xf numFmtId="164" fontId="33" fillId="0" borderId="20" xfId="0" applyNumberFormat="1" applyFont="1" applyFill="1" applyBorder="1"/>
    <xf numFmtId="164" fontId="30" fillId="4" borderId="20" xfId="0" applyNumberFormat="1" applyFont="1" applyFill="1" applyBorder="1"/>
    <xf numFmtId="164" fontId="31" fillId="4" borderId="20" xfId="0" applyNumberFormat="1" applyFont="1" applyFill="1" applyBorder="1"/>
    <xf numFmtId="164" fontId="30" fillId="4" borderId="82" xfId="0" applyNumberFormat="1" applyFont="1" applyFill="1" applyBorder="1"/>
    <xf numFmtId="164" fontId="31" fillId="4" borderId="20" xfId="0" applyNumberFormat="1" applyFont="1" applyFill="1" applyBorder="1" applyAlignment="1">
      <alignment horizontal="center"/>
    </xf>
    <xf numFmtId="164" fontId="31" fillId="4" borderId="83" xfId="0" applyNumberFormat="1" applyFont="1" applyFill="1" applyBorder="1" applyAlignment="1">
      <alignment horizontal="center"/>
    </xf>
    <xf numFmtId="164" fontId="31" fillId="4" borderId="8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/>
    <xf numFmtId="2" fontId="30" fillId="0" borderId="20" xfId="0" applyNumberFormat="1" applyFont="1" applyFill="1" applyBorder="1"/>
    <xf numFmtId="164" fontId="30" fillId="0" borderId="83" xfId="2" applyNumberFormat="1" applyFont="1" applyFill="1" applyBorder="1" applyAlignment="1" applyProtection="1">
      <alignment horizontal="center"/>
      <protection locked="0"/>
    </xf>
    <xf numFmtId="1" fontId="30" fillId="0" borderId="20" xfId="0" applyNumberFormat="1" applyFont="1" applyFill="1" applyBorder="1"/>
    <xf numFmtId="164" fontId="30" fillId="4" borderId="20" xfId="0" applyNumberFormat="1" applyFont="1" applyFill="1" applyBorder="1" applyAlignment="1">
      <alignment vertical="center"/>
    </xf>
    <xf numFmtId="164" fontId="31" fillId="4" borderId="20" xfId="0" applyNumberFormat="1" applyFont="1" applyFill="1" applyBorder="1" applyAlignment="1">
      <alignment wrapText="1"/>
    </xf>
    <xf numFmtId="164" fontId="30" fillId="4" borderId="82" xfId="0" applyNumberFormat="1" applyFont="1" applyFill="1" applyBorder="1" applyAlignment="1">
      <alignment vertical="center"/>
    </xf>
    <xf numFmtId="164" fontId="31" fillId="4" borderId="20" xfId="0" applyNumberFormat="1" applyFont="1" applyFill="1" applyBorder="1" applyAlignment="1">
      <alignment horizontal="center" vertical="center"/>
    </xf>
    <xf numFmtId="164" fontId="31" fillId="4" borderId="83" xfId="0" applyNumberFormat="1" applyFont="1" applyFill="1" applyBorder="1" applyAlignment="1">
      <alignment horizontal="center" vertical="center"/>
    </xf>
    <xf numFmtId="164" fontId="31" fillId="4" borderId="82" xfId="0" applyNumberFormat="1" applyFont="1" applyFill="1" applyBorder="1" applyAlignment="1">
      <alignment horizontal="center" vertical="center"/>
    </xf>
    <xf numFmtId="164" fontId="30" fillId="4" borderId="20" xfId="0" applyNumberFormat="1" applyFont="1" applyFill="1" applyBorder="1" applyAlignment="1" applyProtection="1">
      <alignment horizontal="center"/>
      <protection locked="0"/>
    </xf>
    <xf numFmtId="164" fontId="30" fillId="9" borderId="83" xfId="0" applyNumberFormat="1" applyFont="1" applyFill="1" applyBorder="1" applyAlignment="1" applyProtection="1">
      <alignment horizontal="center"/>
      <protection locked="0"/>
    </xf>
    <xf numFmtId="164" fontId="30" fillId="4" borderId="83" xfId="0" applyNumberFormat="1" applyFont="1" applyFill="1" applyBorder="1" applyAlignment="1" applyProtection="1">
      <alignment horizontal="center"/>
      <protection locked="0"/>
    </xf>
    <xf numFmtId="164" fontId="30" fillId="4" borderId="20" xfId="0" applyNumberFormat="1" applyFont="1" applyFill="1" applyBorder="1" applyAlignment="1">
      <alignment horizontal="center"/>
    </xf>
    <xf numFmtId="164" fontId="31" fillId="2" borderId="71" xfId="0" applyNumberFormat="1" applyFont="1" applyFill="1" applyBorder="1" applyAlignment="1">
      <alignment horizontal="center" vertical="center" wrapText="1"/>
    </xf>
    <xf numFmtId="164" fontId="31" fillId="0" borderId="72" xfId="0" applyNumberFormat="1" applyFont="1" applyFill="1" applyBorder="1" applyAlignment="1">
      <alignment horizontal="center"/>
    </xf>
    <xf numFmtId="164" fontId="31" fillId="2" borderId="86" xfId="0" applyNumberFormat="1" applyFont="1" applyFill="1" applyBorder="1" applyAlignment="1">
      <alignment horizontal="center" vertical="center" wrapText="1"/>
    </xf>
    <xf numFmtId="164" fontId="31" fillId="2" borderId="79" xfId="0" applyNumberFormat="1" applyFont="1" applyFill="1" applyBorder="1" applyAlignment="1">
      <alignment horizontal="center" vertical="center" wrapText="1"/>
    </xf>
    <xf numFmtId="165" fontId="34" fillId="0" borderId="0" xfId="1" applyNumberFormat="1" applyFont="1" applyFill="1" applyBorder="1" applyAlignment="1" applyProtection="1"/>
    <xf numFmtId="164" fontId="31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36" fillId="6" borderId="0" xfId="0" applyFont="1" applyFill="1" applyAlignment="1"/>
    <xf numFmtId="0" fontId="32" fillId="6" borderId="0" xfId="0" applyFont="1" applyFill="1"/>
    <xf numFmtId="0" fontId="32" fillId="6" borderId="0" xfId="0" applyFont="1" applyFill="1" applyAlignment="1"/>
    <xf numFmtId="49" fontId="39" fillId="0" borderId="0" xfId="0" applyNumberFormat="1" applyFont="1"/>
    <xf numFmtId="0" fontId="39" fillId="0" borderId="0" xfId="0" applyFont="1" applyFill="1" applyAlignment="1">
      <alignment horizont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168" fontId="41" fillId="0" borderId="56" xfId="0" applyNumberFormat="1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vertical="center" wrapText="1"/>
    </xf>
    <xf numFmtId="0" fontId="39" fillId="0" borderId="58" xfId="0" applyFont="1" applyFill="1" applyBorder="1" applyAlignment="1">
      <alignment vertical="center" wrapText="1"/>
    </xf>
    <xf numFmtId="0" fontId="39" fillId="0" borderId="59" xfId="0" applyFont="1" applyFill="1" applyBorder="1" applyAlignment="1">
      <alignment vertical="center" wrapText="1"/>
    </xf>
    <xf numFmtId="49" fontId="39" fillId="0" borderId="60" xfId="0" applyNumberFormat="1" applyFont="1" applyBorder="1" applyAlignment="1">
      <alignment vertical="center"/>
    </xf>
    <xf numFmtId="0" fontId="39" fillId="0" borderId="60" xfId="0" applyFont="1" applyBorder="1" applyAlignment="1">
      <alignment vertical="center"/>
    </xf>
    <xf numFmtId="0" fontId="38" fillId="0" borderId="60" xfId="0" applyFont="1" applyBorder="1" applyAlignment="1">
      <alignment vertical="center" wrapText="1"/>
    </xf>
    <xf numFmtId="0" fontId="38" fillId="0" borderId="60" xfId="0" applyFont="1" applyFill="1" applyBorder="1" applyAlignment="1">
      <alignment vertical="center" wrapText="1"/>
    </xf>
    <xf numFmtId="168" fontId="38" fillId="0" borderId="60" xfId="0" applyNumberFormat="1" applyFont="1" applyFill="1" applyBorder="1" applyAlignment="1">
      <alignment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/>
    </xf>
    <xf numFmtId="0" fontId="39" fillId="5" borderId="62" xfId="0" applyFont="1" applyFill="1" applyBorder="1" applyAlignment="1">
      <alignment horizontal="center" vertical="center"/>
    </xf>
    <xf numFmtId="0" fontId="40" fillId="5" borderId="63" xfId="0" applyFont="1" applyFill="1" applyBorder="1" applyAlignment="1">
      <alignment horizontal="left" vertical="center"/>
    </xf>
    <xf numFmtId="0" fontId="39" fillId="5" borderId="63" xfId="0" applyFont="1" applyFill="1" applyBorder="1" applyAlignment="1">
      <alignment horizontal="center"/>
    </xf>
    <xf numFmtId="0" fontId="38" fillId="5" borderId="63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49" fontId="39" fillId="6" borderId="64" xfId="0" applyNumberFormat="1" applyFont="1" applyFill="1" applyBorder="1" applyAlignment="1">
      <alignment vertical="center"/>
    </xf>
    <xf numFmtId="0" fontId="38" fillId="6" borderId="65" xfId="0" applyFont="1" applyFill="1" applyBorder="1" applyAlignment="1">
      <alignment horizontal="left" vertical="center"/>
    </xf>
    <xf numFmtId="0" fontId="39" fillId="6" borderId="65" xfId="0" applyFont="1" applyFill="1" applyBorder="1" applyAlignment="1">
      <alignment horizontal="center" wrapText="1"/>
    </xf>
    <xf numFmtId="0" fontId="38" fillId="6" borderId="65" xfId="0" applyFont="1" applyFill="1" applyBorder="1" applyAlignment="1">
      <alignment horizontal="center" vertical="center" wrapText="1"/>
    </xf>
    <xf numFmtId="49" fontId="39" fillId="6" borderId="66" xfId="0" applyNumberFormat="1" applyFont="1" applyFill="1" applyBorder="1" applyAlignment="1">
      <alignment vertical="center"/>
    </xf>
    <xf numFmtId="0" fontId="38" fillId="7" borderId="20" xfId="0" applyFont="1" applyFill="1" applyBorder="1" applyAlignment="1">
      <alignment horizontal="left" vertical="center"/>
    </xf>
    <xf numFmtId="0" fontId="39" fillId="7" borderId="20" xfId="0" applyFont="1" applyFill="1" applyBorder="1" applyAlignment="1">
      <alignment horizontal="center"/>
    </xf>
    <xf numFmtId="0" fontId="40" fillId="7" borderId="20" xfId="0" applyFont="1" applyFill="1" applyBorder="1" applyAlignment="1">
      <alignment horizontal="center"/>
    </xf>
    <xf numFmtId="0" fontId="38" fillId="7" borderId="63" xfId="0" applyFont="1" applyFill="1" applyBorder="1" applyAlignment="1">
      <alignment horizontal="center" vertical="center" wrapText="1"/>
    </xf>
    <xf numFmtId="49" fontId="39" fillId="6" borderId="67" xfId="0" applyNumberFormat="1" applyFont="1" applyFill="1" applyBorder="1" applyAlignment="1">
      <alignment vertical="center"/>
    </xf>
    <xf numFmtId="0" fontId="39" fillId="7" borderId="20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/>
    </xf>
    <xf numFmtId="49" fontId="39" fillId="0" borderId="66" xfId="0" applyNumberFormat="1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left" vertical="center"/>
    </xf>
    <xf numFmtId="0" fontId="39" fillId="0" borderId="69" xfId="0" applyFont="1" applyFill="1" applyBorder="1" applyAlignment="1">
      <alignment horizontal="center"/>
    </xf>
    <xf numFmtId="0" fontId="38" fillId="6" borderId="69" xfId="0" applyFont="1" applyFill="1" applyBorder="1" applyAlignment="1">
      <alignment horizontal="center"/>
    </xf>
    <xf numFmtId="0" fontId="41" fillId="0" borderId="65" xfId="0" applyFont="1" applyFill="1" applyBorder="1" applyAlignment="1">
      <alignment horizontal="center" wrapText="1"/>
    </xf>
    <xf numFmtId="0" fontId="40" fillId="6" borderId="65" xfId="0" applyFont="1" applyFill="1" applyBorder="1" applyAlignment="1">
      <alignment horizontal="center"/>
    </xf>
    <xf numFmtId="0" fontId="41" fillId="7" borderId="20" xfId="0" applyFont="1" applyFill="1" applyBorder="1" applyAlignment="1">
      <alignment horizontal="center"/>
    </xf>
    <xf numFmtId="49" fontId="41" fillId="0" borderId="71" xfId="0" applyNumberFormat="1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left" vertical="center"/>
    </xf>
    <xf numFmtId="0" fontId="39" fillId="0" borderId="72" xfId="0" applyFont="1" applyFill="1" applyBorder="1" applyAlignment="1">
      <alignment horizontal="center"/>
    </xf>
    <xf numFmtId="0" fontId="38" fillId="6" borderId="72" xfId="0" applyFont="1" applyFill="1" applyBorder="1" applyAlignment="1">
      <alignment horizontal="center"/>
    </xf>
    <xf numFmtId="0" fontId="39" fillId="0" borderId="73" xfId="0" applyFont="1" applyFill="1" applyBorder="1" applyAlignment="1">
      <alignment horizontal="center"/>
    </xf>
    <xf numFmtId="0" fontId="38" fillId="6" borderId="73" xfId="0" applyFont="1" applyFill="1" applyBorder="1" applyAlignment="1">
      <alignment horizontal="center"/>
    </xf>
    <xf numFmtId="0" fontId="39" fillId="0" borderId="75" xfId="0" applyFont="1" applyFill="1" applyBorder="1" applyAlignment="1">
      <alignment horizontal="center"/>
    </xf>
    <xf numFmtId="0" fontId="38" fillId="6" borderId="75" xfId="0" applyFont="1" applyFill="1" applyBorder="1" applyAlignment="1">
      <alignment horizontal="center"/>
    </xf>
    <xf numFmtId="0" fontId="39" fillId="0" borderId="65" xfId="0" applyFont="1" applyFill="1" applyBorder="1" applyAlignment="1">
      <alignment horizontal="center"/>
    </xf>
    <xf numFmtId="0" fontId="38" fillId="6" borderId="65" xfId="0" applyFont="1" applyFill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40" fillId="6" borderId="73" xfId="0" applyFont="1" applyFill="1" applyBorder="1" applyAlignment="1">
      <alignment horizontal="center"/>
    </xf>
    <xf numFmtId="0" fontId="40" fillId="6" borderId="75" xfId="0" applyFont="1" applyFill="1" applyBorder="1" applyAlignment="1">
      <alignment horizontal="center"/>
    </xf>
    <xf numFmtId="49" fontId="39" fillId="2" borderId="62" xfId="0" applyNumberFormat="1" applyFont="1" applyFill="1" applyBorder="1" applyAlignment="1">
      <alignment horizontal="center" vertical="center"/>
    </xf>
    <xf numFmtId="0" fontId="40" fillId="2" borderId="63" xfId="0" applyFont="1" applyFill="1" applyBorder="1" applyAlignment="1">
      <alignment horizontal="left" vertical="center"/>
    </xf>
    <xf numFmtId="0" fontId="39" fillId="2" borderId="63" xfId="0" applyFont="1" applyFill="1" applyBorder="1" applyAlignment="1">
      <alignment horizontal="center"/>
    </xf>
    <xf numFmtId="0" fontId="38" fillId="2" borderId="63" xfId="0" applyFont="1" applyFill="1" applyBorder="1" applyAlignment="1">
      <alignment horizontal="center"/>
    </xf>
    <xf numFmtId="0" fontId="39" fillId="7" borderId="65" xfId="0" applyFont="1" applyFill="1" applyBorder="1" applyAlignment="1">
      <alignment horizontal="center"/>
    </xf>
    <xf numFmtId="0" fontId="38" fillId="7" borderId="65" xfId="0" applyFont="1" applyFill="1" applyBorder="1" applyAlignment="1">
      <alignment horizontal="center"/>
    </xf>
    <xf numFmtId="0" fontId="38" fillId="7" borderId="20" xfId="0" applyFont="1" applyFill="1" applyBorder="1" applyAlignment="1">
      <alignment horizontal="center"/>
    </xf>
    <xf numFmtId="0" fontId="38" fillId="6" borderId="72" xfId="0" applyFont="1" applyFill="1" applyBorder="1" applyAlignment="1">
      <alignment horizontal="center" vertical="center"/>
    </xf>
    <xf numFmtId="0" fontId="39" fillId="2" borderId="66" xfId="0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left" vertical="center"/>
    </xf>
    <xf numFmtId="0" fontId="39" fillId="2" borderId="69" xfId="0" applyFont="1" applyFill="1" applyBorder="1" applyAlignment="1">
      <alignment horizontal="center"/>
    </xf>
    <xf numFmtId="0" fontId="38" fillId="2" borderId="69" xfId="0" applyFont="1" applyFill="1" applyBorder="1"/>
    <xf numFmtId="0" fontId="38" fillId="6" borderId="65" xfId="0" applyFont="1" applyFill="1" applyBorder="1"/>
    <xf numFmtId="0" fontId="38" fillId="6" borderId="72" xfId="0" applyFont="1" applyFill="1" applyBorder="1"/>
    <xf numFmtId="2" fontId="39" fillId="0" borderId="73" xfId="0" applyNumberFormat="1" applyFont="1" applyBorder="1" applyAlignment="1">
      <alignment horizontal="center"/>
    </xf>
    <xf numFmtId="0" fontId="38" fillId="6" borderId="73" xfId="0" applyFont="1" applyFill="1" applyBorder="1"/>
    <xf numFmtId="0" fontId="39" fillId="0" borderId="75" xfId="0" applyFont="1" applyBorder="1" applyAlignment="1">
      <alignment horizontal="center"/>
    </xf>
    <xf numFmtId="0" fontId="38" fillId="6" borderId="75" xfId="0" applyFont="1" applyFill="1" applyBorder="1"/>
    <xf numFmtId="0" fontId="40" fillId="2" borderId="69" xfId="0" applyFont="1" applyFill="1" applyBorder="1" applyAlignment="1">
      <alignment horizontal="left" vertical="center" wrapText="1"/>
    </xf>
    <xf numFmtId="0" fontId="39" fillId="2" borderId="69" xfId="0" applyFont="1" applyFill="1" applyBorder="1" applyAlignment="1">
      <alignment horizontal="center" vertical="center"/>
    </xf>
    <xf numFmtId="49" fontId="39" fillId="0" borderId="62" xfId="0" applyNumberFormat="1" applyFont="1" applyBorder="1" applyAlignment="1">
      <alignment horizontal="center" vertical="center"/>
    </xf>
    <xf numFmtId="0" fontId="38" fillId="0" borderId="63" xfId="0" applyFont="1" applyFill="1" applyBorder="1" applyAlignment="1">
      <alignment horizontal="left" vertical="center"/>
    </xf>
    <xf numFmtId="0" fontId="39" fillId="0" borderId="63" xfId="0" applyFont="1" applyBorder="1" applyAlignment="1">
      <alignment horizontal="center"/>
    </xf>
    <xf numFmtId="0" fontId="38" fillId="6" borderId="63" xfId="0" applyFont="1" applyFill="1" applyBorder="1"/>
    <xf numFmtId="0" fontId="38" fillId="2" borderId="63" xfId="0" applyFont="1" applyFill="1" applyBorder="1" applyAlignment="1">
      <alignment horizontal="left" vertical="center"/>
    </xf>
    <xf numFmtId="0" fontId="38" fillId="2" borderId="63" xfId="0" applyFont="1" applyFill="1" applyBorder="1"/>
    <xf numFmtId="0" fontId="39" fillId="2" borderId="76" xfId="0" applyFont="1" applyFill="1" applyBorder="1" applyAlignment="1">
      <alignment horizontal="center" vertical="center"/>
    </xf>
    <xf numFmtId="0" fontId="40" fillId="2" borderId="77" xfId="0" applyFont="1" applyFill="1" applyBorder="1" applyAlignment="1">
      <alignment horizontal="left" vertical="center"/>
    </xf>
    <xf numFmtId="0" fontId="39" fillId="2" borderId="77" xfId="0" applyFont="1" applyFill="1" applyBorder="1" applyAlignment="1">
      <alignment horizontal="center"/>
    </xf>
    <xf numFmtId="0" fontId="38" fillId="2" borderId="77" xfId="0" applyFont="1" applyFill="1" applyBorder="1"/>
    <xf numFmtId="164" fontId="38" fillId="2" borderId="63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38" fillId="0" borderId="0" xfId="0" applyFont="1" applyFill="1" applyBorder="1"/>
    <xf numFmtId="0" fontId="39" fillId="0" borderId="0" xfId="0" applyFont="1" applyFill="1" applyBorder="1"/>
    <xf numFmtId="0" fontId="39" fillId="0" borderId="0" xfId="0" applyFont="1"/>
    <xf numFmtId="0" fontId="38" fillId="0" borderId="0" xfId="0" applyFont="1"/>
    <xf numFmtId="0" fontId="38" fillId="0" borderId="0" xfId="0" applyFont="1" applyFill="1"/>
    <xf numFmtId="0" fontId="39" fillId="0" borderId="0" xfId="0" applyFont="1" applyFill="1"/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20" xfId="0" applyFont="1" applyBorder="1"/>
    <xf numFmtId="0" fontId="38" fillId="0" borderId="2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39" fillId="0" borderId="20" xfId="0" applyFont="1" applyFill="1" applyBorder="1"/>
    <xf numFmtId="0" fontId="41" fillId="0" borderId="20" xfId="0" applyFont="1" applyBorder="1"/>
    <xf numFmtId="49" fontId="39" fillId="0" borderId="20" xfId="0" applyNumberFormat="1" applyFont="1" applyBorder="1" applyAlignment="1">
      <alignment horizontal="center" vertical="center"/>
    </xf>
    <xf numFmtId="0" fontId="38" fillId="0" borderId="20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1" fontId="39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41" fillId="0" borderId="20" xfId="0" applyFont="1" applyFill="1" applyBorder="1" applyAlignment="1">
      <alignment horizontal="center"/>
    </xf>
    <xf numFmtId="49" fontId="39" fillId="7" borderId="20" xfId="0" applyNumberFormat="1" applyFont="1" applyFill="1" applyBorder="1" applyAlignment="1">
      <alignment horizontal="center" vertical="center"/>
    </xf>
    <xf numFmtId="0" fontId="39" fillId="7" borderId="20" xfId="0" applyFont="1" applyFill="1" applyBorder="1"/>
    <xf numFmtId="0" fontId="39" fillId="0" borderId="20" xfId="0" applyFont="1" applyBorder="1" applyAlignment="1">
      <alignment horizontal="left" vertical="center"/>
    </xf>
    <xf numFmtId="0" fontId="38" fillId="0" borderId="20" xfId="0" applyFont="1" applyBorder="1"/>
    <xf numFmtId="0" fontId="38" fillId="0" borderId="20" xfId="0" applyFont="1" applyFill="1" applyBorder="1"/>
    <xf numFmtId="0" fontId="38" fillId="7" borderId="20" xfId="0" applyNumberFormat="1" applyFont="1" applyFill="1" applyBorder="1" applyAlignment="1">
      <alignment horizontal="center"/>
    </xf>
    <xf numFmtId="0" fontId="38" fillId="0" borderId="20" xfId="0" applyNumberFormat="1" applyFont="1" applyFill="1" applyBorder="1" applyAlignment="1">
      <alignment horizontal="center"/>
    </xf>
    <xf numFmtId="164" fontId="31" fillId="10" borderId="0" xfId="0" applyNumberFormat="1" applyFont="1" applyFill="1" applyBorder="1" applyAlignment="1">
      <alignment horizontal="center"/>
    </xf>
    <xf numFmtId="164" fontId="30" fillId="6" borderId="0" xfId="0" applyNumberFormat="1" applyFont="1" applyFill="1" applyBorder="1" applyAlignment="1">
      <alignment horizontal="center"/>
    </xf>
    <xf numFmtId="164" fontId="30" fillId="1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/>
    </xf>
    <xf numFmtId="164" fontId="31" fillId="0" borderId="6" xfId="0" applyNumberFormat="1" applyFont="1" applyFill="1" applyBorder="1" applyAlignment="1">
      <alignment horizontal="left" vertical="center"/>
    </xf>
    <xf numFmtId="164" fontId="30" fillId="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 wrapText="1"/>
    </xf>
    <xf numFmtId="164" fontId="31" fillId="0" borderId="8" xfId="0" applyNumberFormat="1" applyFont="1" applyFill="1" applyBorder="1" applyAlignment="1">
      <alignment horizontal="center" vertical="center" wrapText="1"/>
    </xf>
    <xf numFmtId="164" fontId="31" fillId="0" borderId="9" xfId="0" applyNumberFormat="1" applyFont="1" applyFill="1" applyBorder="1"/>
    <xf numFmtId="164" fontId="30" fillId="0" borderId="10" xfId="0" applyNumberFormat="1" applyFont="1" applyFill="1" applyBorder="1" applyAlignment="1">
      <alignment horizontal="left" vertical="center" wrapText="1"/>
    </xf>
    <xf numFmtId="164" fontId="31" fillId="0" borderId="11" xfId="0" applyNumberFormat="1" applyFont="1" applyFill="1" applyBorder="1" applyAlignment="1">
      <alignment horizontal="center" vertical="center" wrapText="1"/>
    </xf>
    <xf numFmtId="164" fontId="31" fillId="0" borderId="12" xfId="0" applyNumberFormat="1" applyFont="1" applyFill="1" applyBorder="1" applyAlignment="1">
      <alignment horizontal="center" vertical="center" wrapText="1"/>
    </xf>
    <xf numFmtId="164" fontId="31" fillId="0" borderId="27" xfId="0" applyNumberFormat="1" applyFont="1" applyFill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horizontal="center" vertical="center" wrapText="1"/>
    </xf>
    <xf numFmtId="164" fontId="31" fillId="0" borderId="17" xfId="0" applyNumberFormat="1" applyFont="1" applyFill="1" applyBorder="1" applyAlignment="1">
      <alignment horizontal="center"/>
    </xf>
    <xf numFmtId="164" fontId="31" fillId="0" borderId="87" xfId="0" applyNumberFormat="1" applyFont="1" applyFill="1" applyBorder="1" applyAlignment="1">
      <alignment horizontal="center"/>
    </xf>
    <xf numFmtId="167" fontId="30" fillId="0" borderId="20" xfId="0" applyNumberFormat="1" applyFont="1" applyFill="1" applyBorder="1" applyAlignment="1" applyProtection="1">
      <alignment horizontal="center"/>
      <protection locked="0"/>
    </xf>
    <xf numFmtId="164" fontId="31" fillId="0" borderId="53" xfId="0" applyNumberFormat="1" applyFont="1" applyFill="1" applyBorder="1" applyAlignment="1">
      <alignment horizontal="center" vertical="center" wrapText="1"/>
    </xf>
    <xf numFmtId="1" fontId="30" fillId="0" borderId="6" xfId="0" applyNumberFormat="1" applyFont="1" applyFill="1" applyBorder="1" applyAlignment="1">
      <alignment horizontal="left"/>
    </xf>
    <xf numFmtId="164" fontId="30" fillId="0" borderId="15" xfId="0" applyNumberFormat="1" applyFont="1" applyFill="1" applyBorder="1" applyAlignment="1" applyProtection="1">
      <alignment horizontal="center"/>
      <protection locked="0"/>
    </xf>
    <xf numFmtId="164" fontId="30" fillId="0" borderId="19" xfId="0" applyNumberFormat="1" applyFont="1" applyFill="1" applyBorder="1" applyAlignment="1" applyProtection="1">
      <alignment horizontal="center"/>
      <protection locked="0"/>
    </xf>
    <xf numFmtId="164" fontId="31" fillId="0" borderId="14" xfId="0" applyNumberFormat="1" applyFont="1" applyFill="1" applyBorder="1" applyAlignment="1">
      <alignment horizontal="center"/>
    </xf>
    <xf numFmtId="164" fontId="30" fillId="0" borderId="26" xfId="0" applyNumberFormat="1" applyFont="1" applyFill="1" applyBorder="1"/>
    <xf numFmtId="164" fontId="30" fillId="0" borderId="46" xfId="0" applyNumberFormat="1" applyFont="1" applyFill="1" applyBorder="1"/>
    <xf numFmtId="164" fontId="31" fillId="0" borderId="47" xfId="0" applyNumberFormat="1" applyFont="1" applyFill="1" applyBorder="1"/>
    <xf numFmtId="164" fontId="30" fillId="0" borderId="48" xfId="0" applyNumberFormat="1" applyFont="1" applyFill="1" applyBorder="1"/>
    <xf numFmtId="164" fontId="31" fillId="0" borderId="47" xfId="0" applyNumberFormat="1" applyFont="1" applyFill="1" applyBorder="1" applyAlignment="1">
      <alignment horizontal="center"/>
    </xf>
    <xf numFmtId="164" fontId="31" fillId="0" borderId="46" xfId="0" applyNumberFormat="1" applyFont="1" applyFill="1" applyBorder="1" applyAlignment="1">
      <alignment horizontal="center"/>
    </xf>
    <xf numFmtId="164" fontId="31" fillId="0" borderId="55" xfId="0" applyNumberFormat="1" applyFont="1" applyFill="1" applyBorder="1" applyAlignment="1">
      <alignment horizontal="center"/>
    </xf>
    <xf numFmtId="164" fontId="30" fillId="0" borderId="18" xfId="0" applyNumberFormat="1" applyFont="1" applyFill="1" applyBorder="1"/>
    <xf numFmtId="164" fontId="30" fillId="0" borderId="47" xfId="0" applyNumberFormat="1" applyFont="1" applyFill="1" applyBorder="1"/>
    <xf numFmtId="164" fontId="30" fillId="0" borderId="47" xfId="0" applyNumberFormat="1" applyFont="1" applyFill="1" applyBorder="1" applyAlignment="1">
      <alignment vertical="center"/>
    </xf>
    <xf numFmtId="164" fontId="31" fillId="0" borderId="47" xfId="0" applyNumberFormat="1" applyFont="1" applyFill="1" applyBorder="1" applyAlignment="1">
      <alignment wrapText="1"/>
    </xf>
    <xf numFmtId="164" fontId="31" fillId="0" borderId="47" xfId="0" applyNumberFormat="1" applyFont="1" applyFill="1" applyBorder="1" applyAlignment="1">
      <alignment horizontal="center" vertical="center"/>
    </xf>
    <xf numFmtId="164" fontId="30" fillId="0" borderId="24" xfId="0" applyNumberFormat="1" applyFont="1" applyFill="1" applyBorder="1"/>
    <xf numFmtId="164" fontId="30" fillId="0" borderId="92" xfId="0" applyNumberFormat="1" applyFont="1" applyFill="1" applyBorder="1"/>
    <xf numFmtId="164" fontId="31" fillId="0" borderId="93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31" fillId="0" borderId="27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 vertical="center" wrapText="1"/>
    </xf>
    <xf numFmtId="164" fontId="30" fillId="0" borderId="114" xfId="0" applyNumberFormat="1" applyFont="1" applyFill="1" applyBorder="1" applyAlignment="1" applyProtection="1">
      <alignment horizontal="center"/>
      <protection locked="0"/>
    </xf>
    <xf numFmtId="164" fontId="31" fillId="0" borderId="46" xfId="0" applyNumberFormat="1" applyFont="1" applyFill="1" applyBorder="1" applyAlignment="1">
      <alignment horizontal="center" vertical="center"/>
    </xf>
    <xf numFmtId="164" fontId="30" fillId="0" borderId="16" xfId="0" applyNumberFormat="1" applyFont="1" applyFill="1" applyBorder="1" applyAlignment="1" applyProtection="1">
      <alignment horizontal="center"/>
      <protection locked="0"/>
    </xf>
    <xf numFmtId="164" fontId="30" fillId="0" borderId="117" xfId="0" applyNumberFormat="1" applyFont="1" applyFill="1" applyBorder="1" applyAlignment="1" applyProtection="1">
      <alignment horizontal="center"/>
      <protection locked="0"/>
    </xf>
    <xf numFmtId="164" fontId="30" fillId="0" borderId="118" xfId="0" applyNumberFormat="1" applyFont="1" applyFill="1" applyBorder="1" applyAlignment="1" applyProtection="1">
      <alignment horizontal="center"/>
      <protection locked="0"/>
    </xf>
    <xf numFmtId="164" fontId="31" fillId="0" borderId="119" xfId="0" applyNumberFormat="1" applyFont="1" applyFill="1" applyBorder="1" applyAlignment="1">
      <alignment horizontal="center"/>
    </xf>
    <xf numFmtId="164" fontId="30" fillId="0" borderId="116" xfId="2" applyNumberFormat="1" applyFont="1" applyFill="1" applyBorder="1" applyAlignment="1" applyProtection="1">
      <alignment horizontal="center"/>
      <protection locked="0"/>
    </xf>
    <xf numFmtId="164" fontId="31" fillId="0" borderId="120" xfId="0" applyNumberFormat="1" applyFont="1" applyFill="1" applyBorder="1" applyAlignment="1">
      <alignment horizontal="center" vertical="center"/>
    </xf>
    <xf numFmtId="164" fontId="31" fillId="0" borderId="80" xfId="0" applyNumberFormat="1" applyFont="1" applyFill="1" applyBorder="1" applyAlignment="1">
      <alignment horizontal="center"/>
    </xf>
    <xf numFmtId="164" fontId="30" fillId="0" borderId="80" xfId="0" applyNumberFormat="1" applyFont="1" applyFill="1" applyBorder="1" applyAlignment="1" applyProtection="1">
      <alignment horizontal="center"/>
      <protection locked="0"/>
    </xf>
    <xf numFmtId="164" fontId="30" fillId="0" borderId="121" xfId="0" applyNumberFormat="1" applyFont="1" applyFill="1" applyBorder="1" applyAlignment="1" applyProtection="1">
      <alignment horizontal="center"/>
      <protection locked="0"/>
    </xf>
    <xf numFmtId="164" fontId="30" fillId="0" borderId="121" xfId="2" applyNumberFormat="1" applyFont="1" applyFill="1" applyBorder="1" applyAlignment="1" applyProtection="1">
      <alignment horizontal="center"/>
      <protection locked="0"/>
    </xf>
    <xf numFmtId="164" fontId="30" fillId="0" borderId="124" xfId="2" applyNumberFormat="1" applyFont="1" applyFill="1" applyBorder="1" applyAlignment="1" applyProtection="1">
      <alignment horizontal="center"/>
      <protection locked="0"/>
    </xf>
    <xf numFmtId="164" fontId="31" fillId="0" borderId="125" xfId="0" applyNumberFormat="1" applyFont="1" applyFill="1" applyBorder="1" applyAlignment="1">
      <alignment horizontal="center" vertical="center"/>
    </xf>
    <xf numFmtId="164" fontId="31" fillId="0" borderId="60" xfId="0" applyNumberFormat="1" applyFont="1" applyFill="1" applyBorder="1" applyAlignment="1">
      <alignment horizontal="center"/>
    </xf>
    <xf numFmtId="164" fontId="30" fillId="0" borderId="14" xfId="0" applyNumberFormat="1" applyFont="1" applyFill="1" applyBorder="1" applyAlignment="1" applyProtection="1">
      <alignment horizontal="center"/>
      <protection locked="0"/>
    </xf>
    <xf numFmtId="164" fontId="30" fillId="0" borderId="127" xfId="0" applyNumberFormat="1" applyFont="1" applyFill="1" applyBorder="1" applyAlignment="1" applyProtection="1">
      <alignment horizontal="center"/>
      <protection locked="0"/>
    </xf>
    <xf numFmtId="164" fontId="30" fillId="0" borderId="128" xfId="0" applyNumberFormat="1" applyFont="1" applyFill="1" applyBorder="1" applyAlignment="1" applyProtection="1">
      <alignment horizontal="center"/>
      <protection locked="0"/>
    </xf>
    <xf numFmtId="164" fontId="30" fillId="0" borderId="130" xfId="0" applyNumberFormat="1" applyFont="1" applyFill="1" applyBorder="1" applyAlignment="1" applyProtection="1">
      <alignment horizontal="center"/>
      <protection locked="0"/>
    </xf>
    <xf numFmtId="164" fontId="30" fillId="0" borderId="131" xfId="0" applyNumberFormat="1" applyFont="1" applyFill="1" applyBorder="1" applyAlignment="1" applyProtection="1">
      <alignment horizontal="center"/>
      <protection locked="0"/>
    </xf>
    <xf numFmtId="164" fontId="31" fillId="0" borderId="6" xfId="0" applyNumberFormat="1" applyFont="1" applyFill="1" applyBorder="1" applyAlignment="1">
      <alignment horizontal="center" vertical="center" wrapText="1"/>
    </xf>
    <xf numFmtId="164" fontId="30" fillId="0" borderId="79" xfId="0" applyNumberFormat="1" applyFont="1" applyFill="1" applyBorder="1" applyAlignment="1" applyProtection="1">
      <alignment horizontal="center"/>
      <protection locked="0"/>
    </xf>
    <xf numFmtId="164" fontId="30" fillId="0" borderId="133" xfId="0" applyNumberFormat="1" applyFont="1" applyFill="1" applyBorder="1" applyAlignment="1" applyProtection="1">
      <alignment horizontal="center"/>
      <protection locked="0"/>
    </xf>
    <xf numFmtId="164" fontId="30" fillId="0" borderId="135" xfId="0" applyNumberFormat="1" applyFont="1" applyFill="1" applyBorder="1" applyAlignment="1" applyProtection="1">
      <alignment horizontal="center"/>
      <protection locked="0"/>
    </xf>
    <xf numFmtId="164" fontId="30" fillId="0" borderId="88" xfId="0" applyNumberFormat="1" applyFont="1" applyFill="1" applyBorder="1" applyAlignment="1" applyProtection="1">
      <alignment horizontal="center"/>
      <protection locked="0"/>
    </xf>
    <xf numFmtId="164" fontId="31" fillId="0" borderId="136" xfId="0" applyNumberFormat="1" applyFont="1" applyFill="1" applyBorder="1" applyAlignment="1">
      <alignment horizontal="center" vertical="center" wrapText="1"/>
    </xf>
    <xf numFmtId="164" fontId="30" fillId="0" borderId="124" xfId="0" applyNumberFormat="1" applyFont="1" applyFill="1" applyBorder="1" applyAlignment="1" applyProtection="1">
      <alignment horizontal="center"/>
      <protection locked="0"/>
    </xf>
    <xf numFmtId="164" fontId="30" fillId="0" borderId="78" xfId="0" applyNumberFormat="1" applyFont="1" applyFill="1" applyBorder="1" applyAlignment="1" applyProtection="1">
      <alignment horizontal="center"/>
      <protection locked="0"/>
    </xf>
    <xf numFmtId="164" fontId="30" fillId="0" borderId="137" xfId="0" applyNumberFormat="1" applyFont="1" applyFill="1" applyBorder="1" applyAlignment="1" applyProtection="1">
      <alignment horizontal="center"/>
      <protection locked="0"/>
    </xf>
    <xf numFmtId="164" fontId="30" fillId="0" borderId="138" xfId="0" applyNumberFormat="1" applyFont="1" applyFill="1" applyBorder="1" applyAlignment="1" applyProtection="1">
      <alignment horizontal="center"/>
      <protection locked="0"/>
    </xf>
    <xf numFmtId="164" fontId="30" fillId="0" borderId="139" xfId="0" applyNumberFormat="1" applyFont="1" applyFill="1" applyBorder="1" applyAlignment="1" applyProtection="1">
      <alignment horizontal="center"/>
      <protection locked="0"/>
    </xf>
    <xf numFmtId="164" fontId="30" fillId="0" borderId="140" xfId="0" applyNumberFormat="1" applyFont="1" applyFill="1" applyBorder="1" applyAlignment="1" applyProtection="1">
      <alignment horizontal="center"/>
      <protection locked="0"/>
    </xf>
    <xf numFmtId="164" fontId="30" fillId="0" borderId="60" xfId="0" applyNumberFormat="1" applyFont="1" applyFill="1" applyBorder="1" applyAlignment="1" applyProtection="1">
      <alignment horizontal="center"/>
      <protection locked="0"/>
    </xf>
    <xf numFmtId="164" fontId="30" fillId="0" borderId="81" xfId="0" applyNumberFormat="1" applyFont="1" applyFill="1" applyBorder="1" applyAlignment="1" applyProtection="1">
      <alignment horizontal="center"/>
      <protection locked="0"/>
    </xf>
    <xf numFmtId="164" fontId="30" fillId="0" borderId="61" xfId="0" applyNumberFormat="1" applyFont="1" applyFill="1" applyBorder="1" applyAlignment="1" applyProtection="1">
      <alignment horizontal="center"/>
      <protection locked="0"/>
    </xf>
    <xf numFmtId="164" fontId="30" fillId="0" borderId="141" xfId="0" applyNumberFormat="1" applyFont="1" applyFill="1" applyBorder="1" applyAlignment="1" applyProtection="1">
      <alignment horizontal="center"/>
      <protection locked="0"/>
    </xf>
    <xf numFmtId="164" fontId="31" fillId="0" borderId="60" xfId="0" applyNumberFormat="1" applyFont="1" applyFill="1" applyBorder="1" applyAlignment="1">
      <alignment horizontal="center" vertical="center" wrapText="1"/>
    </xf>
    <xf numFmtId="164" fontId="31" fillId="0" borderId="143" xfId="0" applyNumberFormat="1" applyFont="1" applyFill="1" applyBorder="1" applyAlignment="1">
      <alignment horizontal="center" vertical="center" wrapText="1"/>
    </xf>
    <xf numFmtId="164" fontId="30" fillId="0" borderId="144" xfId="0" applyNumberFormat="1" applyFont="1" applyFill="1" applyBorder="1" applyAlignment="1" applyProtection="1">
      <alignment horizontal="center"/>
      <protection locked="0"/>
    </xf>
    <xf numFmtId="164" fontId="30" fillId="0" borderId="145" xfId="0" applyNumberFormat="1" applyFont="1" applyFill="1" applyBorder="1" applyAlignment="1" applyProtection="1">
      <alignment horizontal="center"/>
      <protection locked="0"/>
    </xf>
    <xf numFmtId="164" fontId="31" fillId="0" borderId="146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 applyProtection="1">
      <alignment horizontal="center"/>
      <protection locked="0"/>
    </xf>
    <xf numFmtId="164" fontId="30" fillId="0" borderId="6" xfId="0" applyNumberFormat="1" applyFont="1" applyFill="1" applyBorder="1" applyAlignment="1" applyProtection="1">
      <alignment horizontal="center"/>
      <protection locked="0"/>
    </xf>
    <xf numFmtId="164" fontId="30" fillId="0" borderId="147" xfId="0" applyNumberFormat="1" applyFont="1" applyFill="1" applyBorder="1" applyAlignment="1" applyProtection="1">
      <alignment horizontal="center"/>
      <protection locked="0"/>
    </xf>
    <xf numFmtId="164" fontId="30" fillId="0" borderId="148" xfId="0" applyNumberFormat="1" applyFont="1" applyFill="1" applyBorder="1" applyAlignment="1" applyProtection="1">
      <alignment horizontal="center"/>
      <protection locked="0"/>
    </xf>
    <xf numFmtId="164" fontId="30" fillId="0" borderId="56" xfId="0" applyNumberFormat="1" applyFont="1" applyFill="1" applyBorder="1" applyAlignment="1" applyProtection="1">
      <alignment horizontal="center"/>
      <protection locked="0"/>
    </xf>
    <xf numFmtId="164" fontId="31" fillId="0" borderId="149" xfId="0" applyNumberFormat="1" applyFont="1" applyFill="1" applyBorder="1" applyAlignment="1">
      <alignment horizontal="center" vertical="center" wrapText="1"/>
    </xf>
    <xf numFmtId="164" fontId="30" fillId="0" borderId="149" xfId="0" applyNumberFormat="1" applyFont="1" applyFill="1" applyBorder="1" applyAlignment="1" applyProtection="1">
      <alignment horizontal="center"/>
      <protection locked="0"/>
    </xf>
    <xf numFmtId="164" fontId="30" fillId="0" borderId="150" xfId="0" applyNumberFormat="1" applyFont="1" applyFill="1" applyBorder="1" applyAlignment="1" applyProtection="1">
      <alignment horizontal="center"/>
      <protection locked="0"/>
    </xf>
    <xf numFmtId="164" fontId="30" fillId="0" borderId="123" xfId="0" applyNumberFormat="1" applyFont="1" applyFill="1" applyBorder="1" applyAlignment="1" applyProtection="1">
      <alignment horizontal="center"/>
      <protection locked="0"/>
    </xf>
    <xf numFmtId="164" fontId="31" fillId="0" borderId="151" xfId="0" applyNumberFormat="1" applyFont="1" applyFill="1" applyBorder="1" applyAlignment="1">
      <alignment horizontal="center" vertical="center" wrapText="1"/>
    </xf>
    <xf numFmtId="0" fontId="0" fillId="0" borderId="78" xfId="0" applyBorder="1"/>
    <xf numFmtId="164" fontId="30" fillId="0" borderId="153" xfId="0" applyNumberFormat="1" applyFont="1" applyFill="1" applyBorder="1" applyAlignment="1" applyProtection="1">
      <alignment horizontal="center"/>
      <protection locked="0"/>
    </xf>
    <xf numFmtId="164" fontId="30" fillId="0" borderId="132" xfId="0" applyNumberFormat="1" applyFont="1" applyFill="1" applyBorder="1" applyAlignment="1" applyProtection="1">
      <alignment horizontal="center"/>
      <protection locked="0"/>
    </xf>
    <xf numFmtId="0" fontId="0" fillId="0" borderId="88" xfId="0" applyBorder="1"/>
    <xf numFmtId="164" fontId="31" fillId="0" borderId="154" xfId="0" applyNumberFormat="1" applyFont="1" applyFill="1" applyBorder="1" applyAlignment="1">
      <alignment horizontal="center" vertical="center" wrapText="1"/>
    </xf>
    <xf numFmtId="164" fontId="30" fillId="0" borderId="155" xfId="0" applyNumberFormat="1" applyFont="1" applyFill="1" applyBorder="1" applyAlignment="1" applyProtection="1">
      <alignment horizontal="center"/>
      <protection locked="0"/>
    </xf>
    <xf numFmtId="164" fontId="30" fillId="0" borderId="156" xfId="0" applyNumberFormat="1" applyFont="1" applyFill="1" applyBorder="1" applyAlignment="1" applyProtection="1">
      <alignment horizontal="center"/>
      <protection locked="0"/>
    </xf>
    <xf numFmtId="164" fontId="30" fillId="0" borderId="157" xfId="0" applyNumberFormat="1" applyFont="1" applyFill="1" applyBorder="1" applyAlignment="1" applyProtection="1">
      <alignment horizontal="center"/>
      <protection locked="0"/>
    </xf>
    <xf numFmtId="164" fontId="31" fillId="0" borderId="160" xfId="0" applyNumberFormat="1" applyFont="1" applyFill="1" applyBorder="1" applyAlignment="1">
      <alignment horizontal="center" vertical="center" wrapText="1"/>
    </xf>
    <xf numFmtId="164" fontId="31" fillId="0" borderId="159" xfId="0" applyNumberFormat="1" applyFont="1" applyFill="1" applyBorder="1" applyAlignment="1">
      <alignment horizontal="center" vertical="center" wrapText="1"/>
    </xf>
    <xf numFmtId="164" fontId="30" fillId="0" borderId="161" xfId="0" applyNumberFormat="1" applyFont="1" applyFill="1" applyBorder="1"/>
    <xf numFmtId="164" fontId="31" fillId="0" borderId="162" xfId="0" applyNumberFormat="1" applyFont="1" applyFill="1" applyBorder="1" applyAlignment="1">
      <alignment horizontal="center" vertical="center" wrapText="1"/>
    </xf>
    <xf numFmtId="164" fontId="30" fillId="0" borderId="162" xfId="0" applyNumberFormat="1" applyFont="1" applyFill="1" applyBorder="1" applyAlignment="1" applyProtection="1">
      <alignment horizontal="center"/>
      <protection locked="0"/>
    </xf>
    <xf numFmtId="164" fontId="30" fillId="0" borderId="163" xfId="0" applyNumberFormat="1" applyFont="1" applyFill="1" applyBorder="1" applyAlignment="1" applyProtection="1">
      <alignment horizontal="center"/>
      <protection locked="0"/>
    </xf>
    <xf numFmtId="164" fontId="31" fillId="0" borderId="163" xfId="0" applyNumberFormat="1" applyFont="1" applyFill="1" applyBorder="1" applyAlignment="1">
      <alignment horizontal="center" vertical="center" wrapText="1"/>
    </xf>
    <xf numFmtId="164" fontId="31" fillId="0" borderId="142" xfId="0" applyNumberFormat="1" applyFont="1" applyFill="1" applyBorder="1" applyAlignment="1">
      <alignment horizontal="center" vertical="center" wrapText="1"/>
    </xf>
    <xf numFmtId="164" fontId="31" fillId="0" borderId="164" xfId="0" applyNumberFormat="1" applyFont="1" applyFill="1" applyBorder="1" applyAlignment="1">
      <alignment horizontal="center" vertical="center" wrapText="1"/>
    </xf>
    <xf numFmtId="164" fontId="31" fillId="0" borderId="165" xfId="0" applyNumberFormat="1" applyFont="1" applyFill="1" applyBorder="1" applyAlignment="1">
      <alignment horizontal="center" vertical="center" wrapText="1"/>
    </xf>
    <xf numFmtId="164" fontId="30" fillId="0" borderId="165" xfId="0" applyNumberFormat="1" applyFont="1" applyFill="1" applyBorder="1" applyAlignment="1" applyProtection="1">
      <alignment horizontal="center"/>
      <protection locked="0"/>
    </xf>
    <xf numFmtId="164" fontId="30" fillId="0" borderId="166" xfId="0" applyNumberFormat="1" applyFont="1" applyFill="1" applyBorder="1" applyAlignment="1" applyProtection="1">
      <alignment horizontal="center"/>
      <protection locked="0"/>
    </xf>
    <xf numFmtId="164" fontId="31" fillId="0" borderId="166" xfId="0" applyNumberFormat="1" applyFont="1" applyFill="1" applyBorder="1" applyAlignment="1">
      <alignment horizontal="center" vertical="center" wrapText="1"/>
    </xf>
    <xf numFmtId="164" fontId="31" fillId="0" borderId="167" xfId="0" applyNumberFormat="1" applyFont="1" applyFill="1" applyBorder="1" applyAlignment="1">
      <alignment horizontal="center" vertical="center" wrapText="1"/>
    </xf>
    <xf numFmtId="164" fontId="31" fillId="0" borderId="168" xfId="0" applyNumberFormat="1" applyFont="1" applyFill="1" applyBorder="1" applyAlignment="1">
      <alignment horizontal="center" vertical="center" wrapText="1"/>
    </xf>
    <xf numFmtId="164" fontId="30" fillId="0" borderId="168" xfId="0" applyNumberFormat="1" applyFont="1" applyFill="1" applyBorder="1" applyAlignment="1" applyProtection="1">
      <alignment horizontal="center"/>
      <protection locked="0"/>
    </xf>
    <xf numFmtId="164" fontId="30" fillId="0" borderId="160" xfId="0" applyNumberFormat="1" applyFont="1" applyFill="1" applyBorder="1" applyAlignment="1" applyProtection="1">
      <alignment horizontal="center"/>
      <protection locked="0"/>
    </xf>
    <xf numFmtId="164" fontId="30" fillId="0" borderId="7" xfId="0" applyNumberFormat="1" applyFont="1" applyFill="1" applyBorder="1" applyAlignment="1" applyProtection="1">
      <alignment horizontal="center"/>
      <protection locked="0"/>
    </xf>
    <xf numFmtId="164" fontId="30" fillId="0" borderId="169" xfId="0" applyNumberFormat="1" applyFont="1" applyFill="1" applyBorder="1" applyAlignment="1" applyProtection="1">
      <alignment horizontal="center"/>
      <protection locked="0"/>
    </xf>
    <xf numFmtId="164" fontId="30" fillId="0" borderId="170" xfId="0" applyNumberFormat="1" applyFont="1" applyFill="1" applyBorder="1" applyAlignment="1" applyProtection="1">
      <alignment horizontal="center"/>
      <protection locked="0"/>
    </xf>
    <xf numFmtId="164" fontId="30" fillId="0" borderId="143" xfId="0" applyNumberFormat="1" applyFont="1" applyFill="1" applyBorder="1" applyAlignment="1" applyProtection="1">
      <alignment horizontal="center"/>
      <protection locked="0"/>
    </xf>
    <xf numFmtId="164" fontId="30" fillId="0" borderId="151" xfId="0" applyNumberFormat="1" applyFont="1" applyFill="1" applyBorder="1" applyAlignment="1" applyProtection="1">
      <alignment horizontal="center"/>
      <protection locked="0"/>
    </xf>
    <xf numFmtId="164" fontId="31" fillId="0" borderId="172" xfId="0" applyNumberFormat="1" applyFont="1" applyFill="1" applyBorder="1" applyAlignment="1">
      <alignment horizontal="center" vertical="center" wrapText="1"/>
    </xf>
    <xf numFmtId="164" fontId="30" fillId="0" borderId="173" xfId="0" applyNumberFormat="1" applyFont="1" applyFill="1" applyBorder="1" applyAlignment="1" applyProtection="1">
      <alignment horizontal="center"/>
      <protection locked="0"/>
    </xf>
    <xf numFmtId="164" fontId="30" fillId="0" borderId="174" xfId="0" applyNumberFormat="1" applyFont="1" applyFill="1" applyBorder="1" applyAlignment="1" applyProtection="1">
      <alignment horizontal="center"/>
      <protection locked="0"/>
    </xf>
    <xf numFmtId="164" fontId="31" fillId="0" borderId="175" xfId="0" applyNumberFormat="1" applyFont="1" applyFill="1" applyBorder="1" applyAlignment="1">
      <alignment horizontal="center" vertical="center" wrapText="1"/>
    </xf>
    <xf numFmtId="164" fontId="30" fillId="0" borderId="176" xfId="0" applyNumberFormat="1" applyFont="1" applyFill="1" applyBorder="1" applyAlignment="1" applyProtection="1">
      <alignment horizontal="center"/>
      <protection locked="0"/>
    </xf>
    <xf numFmtId="164" fontId="30" fillId="0" borderId="177" xfId="0" applyNumberFormat="1" applyFont="1" applyFill="1" applyBorder="1" applyAlignment="1" applyProtection="1">
      <alignment horizontal="center"/>
      <protection locked="0"/>
    </xf>
    <xf numFmtId="164" fontId="31" fillId="0" borderId="132" xfId="0" applyNumberFormat="1" applyFont="1" applyFill="1" applyBorder="1" applyAlignment="1">
      <alignment horizontal="center" vertical="center" wrapText="1"/>
    </xf>
    <xf numFmtId="164" fontId="30" fillId="0" borderId="178" xfId="0" applyNumberFormat="1" applyFont="1" applyFill="1" applyBorder="1" applyAlignment="1" applyProtection="1">
      <alignment horizontal="center"/>
      <protection locked="0"/>
    </xf>
    <xf numFmtId="164" fontId="30" fillId="0" borderId="148" xfId="0" applyNumberFormat="1" applyFont="1" applyFill="1" applyBorder="1"/>
    <xf numFmtId="0" fontId="0" fillId="0" borderId="132" xfId="0" applyBorder="1"/>
    <xf numFmtId="164" fontId="30" fillId="0" borderId="179" xfId="0" applyNumberFormat="1" applyFont="1" applyFill="1" applyBorder="1" applyAlignment="1" applyProtection="1">
      <alignment horizontal="center"/>
      <protection locked="0"/>
    </xf>
    <xf numFmtId="164" fontId="31" fillId="0" borderId="78" xfId="0" applyNumberFormat="1" applyFont="1" applyFill="1" applyBorder="1" applyAlignment="1">
      <alignment horizontal="center" vertical="center" wrapText="1"/>
    </xf>
    <xf numFmtId="164" fontId="30" fillId="0" borderId="180" xfId="0" applyNumberFormat="1" applyFont="1" applyFill="1" applyBorder="1" applyAlignment="1" applyProtection="1">
      <alignment horizontal="center"/>
      <protection locked="0"/>
    </xf>
    <xf numFmtId="164" fontId="31" fillId="0" borderId="182" xfId="0" applyNumberFormat="1" applyFont="1" applyFill="1" applyBorder="1" applyAlignment="1">
      <alignment horizontal="center" vertical="center" wrapText="1"/>
    </xf>
    <xf numFmtId="164" fontId="30" fillId="0" borderId="182" xfId="0" applyNumberFormat="1" applyFont="1" applyFill="1" applyBorder="1" applyAlignment="1" applyProtection="1">
      <alignment horizontal="center"/>
      <protection locked="0"/>
    </xf>
    <xf numFmtId="164" fontId="30" fillId="0" borderId="185" xfId="0" applyNumberFormat="1" applyFont="1" applyFill="1" applyBorder="1" applyAlignment="1" applyProtection="1">
      <alignment horizontal="center"/>
      <protection locked="0"/>
    </xf>
    <xf numFmtId="164" fontId="30" fillId="0" borderId="186" xfId="0" applyNumberFormat="1" applyFont="1" applyFill="1" applyBorder="1" applyAlignment="1" applyProtection="1">
      <alignment horizontal="center"/>
      <protection locked="0"/>
    </xf>
    <xf numFmtId="164" fontId="30" fillId="0" borderId="187" xfId="0" applyNumberFormat="1" applyFont="1" applyFill="1" applyBorder="1" applyAlignment="1" applyProtection="1">
      <alignment horizontal="center"/>
      <protection locked="0"/>
    </xf>
    <xf numFmtId="164" fontId="30" fillId="0" borderId="188" xfId="0" applyNumberFormat="1" applyFont="1" applyFill="1" applyBorder="1" applyAlignment="1" applyProtection="1">
      <alignment horizontal="center"/>
      <protection locked="0"/>
    </xf>
    <xf numFmtId="164" fontId="30" fillId="0" borderId="189" xfId="0" applyNumberFormat="1" applyFont="1" applyFill="1" applyBorder="1" applyAlignment="1" applyProtection="1">
      <alignment horizontal="center"/>
      <protection locked="0"/>
    </xf>
    <xf numFmtId="164" fontId="30" fillId="0" borderId="190" xfId="0" applyNumberFormat="1" applyFont="1" applyFill="1" applyBorder="1" applyAlignment="1" applyProtection="1">
      <alignment horizontal="center"/>
      <protection locked="0"/>
    </xf>
    <xf numFmtId="164" fontId="31" fillId="0" borderId="191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 applyProtection="1">
      <alignment horizontal="center"/>
      <protection locked="0"/>
    </xf>
    <xf numFmtId="164" fontId="31" fillId="0" borderId="192" xfId="0" applyNumberFormat="1" applyFont="1" applyFill="1" applyBorder="1" applyAlignment="1">
      <alignment horizontal="center" vertical="center" wrapText="1"/>
    </xf>
    <xf numFmtId="164" fontId="30" fillId="0" borderId="194" xfId="0" applyNumberFormat="1" applyFont="1" applyFill="1" applyBorder="1" applyAlignment="1" applyProtection="1">
      <alignment horizontal="center"/>
      <protection locked="0"/>
    </xf>
    <xf numFmtId="164" fontId="31" fillId="0" borderId="88" xfId="0" applyNumberFormat="1" applyFont="1" applyFill="1" applyBorder="1" applyAlignment="1">
      <alignment horizontal="center" vertical="center" wrapText="1"/>
    </xf>
    <xf numFmtId="164" fontId="30" fillId="0" borderId="195" xfId="0" applyNumberFormat="1" applyFont="1" applyFill="1" applyBorder="1" applyAlignment="1" applyProtection="1">
      <alignment horizontal="center"/>
      <protection locked="0"/>
    </xf>
    <xf numFmtId="164" fontId="31" fillId="0" borderId="25" xfId="0" applyNumberFormat="1" applyFont="1" applyFill="1" applyBorder="1" applyAlignment="1">
      <alignment horizontal="center"/>
    </xf>
    <xf numFmtId="164" fontId="30" fillId="0" borderId="192" xfId="0" applyNumberFormat="1" applyFont="1" applyFill="1" applyBorder="1" applyAlignment="1" applyProtection="1">
      <alignment horizontal="center"/>
      <protection locked="0"/>
    </xf>
    <xf numFmtId="164" fontId="30" fillId="0" borderId="198" xfId="0" applyNumberFormat="1" applyFont="1" applyFill="1" applyBorder="1" applyAlignment="1" applyProtection="1">
      <alignment horizontal="center"/>
      <protection locked="0"/>
    </xf>
    <xf numFmtId="164" fontId="30" fillId="0" borderId="199" xfId="0" applyNumberFormat="1" applyFont="1" applyFill="1" applyBorder="1" applyAlignment="1" applyProtection="1">
      <alignment horizontal="center"/>
      <protection locked="0"/>
    </xf>
    <xf numFmtId="164" fontId="30" fillId="0" borderId="200" xfId="0" applyNumberFormat="1" applyFont="1" applyFill="1" applyBorder="1" applyAlignment="1" applyProtection="1">
      <alignment horizontal="center"/>
      <protection locked="0"/>
    </xf>
    <xf numFmtId="164" fontId="31" fillId="0" borderId="147" xfId="0" applyNumberFormat="1" applyFont="1" applyFill="1" applyBorder="1" applyAlignment="1">
      <alignment horizontal="center"/>
    </xf>
    <xf numFmtId="164" fontId="31" fillId="0" borderId="133" xfId="0" applyNumberFormat="1" applyFont="1" applyFill="1" applyBorder="1" applyAlignment="1">
      <alignment horizontal="center"/>
    </xf>
    <xf numFmtId="164" fontId="31" fillId="0" borderId="117" xfId="0" applyNumberFormat="1" applyFont="1" applyFill="1" applyBorder="1" applyAlignment="1">
      <alignment horizontal="center"/>
    </xf>
    <xf numFmtId="164" fontId="31" fillId="0" borderId="180" xfId="0" applyNumberFormat="1" applyFont="1" applyFill="1" applyBorder="1" applyAlignment="1">
      <alignment horizontal="center"/>
    </xf>
    <xf numFmtId="167" fontId="30" fillId="0" borderId="78" xfId="0" applyNumberFormat="1" applyFont="1" applyFill="1" applyBorder="1" applyAlignment="1" applyProtection="1">
      <alignment horizontal="center"/>
      <protection locked="0"/>
    </xf>
    <xf numFmtId="164" fontId="30" fillId="0" borderId="136" xfId="0" applyNumberFormat="1" applyFont="1" applyFill="1" applyBorder="1" applyAlignment="1" applyProtection="1">
      <alignment horizontal="center"/>
      <protection locked="0"/>
    </xf>
    <xf numFmtId="164" fontId="30" fillId="0" borderId="152" xfId="0" applyNumberFormat="1" applyFont="1" applyFill="1" applyBorder="1" applyAlignment="1" applyProtection="1">
      <alignment horizontal="center"/>
      <protection locked="0"/>
    </xf>
    <xf numFmtId="164" fontId="30" fillId="0" borderId="191" xfId="0" applyNumberFormat="1" applyFont="1" applyFill="1" applyBorder="1" applyAlignment="1" applyProtection="1">
      <alignment horizontal="center"/>
      <protection locked="0"/>
    </xf>
    <xf numFmtId="164" fontId="31" fillId="0" borderId="201" xfId="0" applyNumberFormat="1" applyFont="1" applyFill="1" applyBorder="1" applyAlignment="1">
      <alignment horizontal="center" vertical="center" wrapText="1"/>
    </xf>
    <xf numFmtId="164" fontId="31" fillId="0" borderId="116" xfId="0" applyNumberFormat="1" applyFont="1" applyFill="1" applyBorder="1" applyAlignment="1">
      <alignment horizontal="center"/>
    </xf>
    <xf numFmtId="164" fontId="31" fillId="0" borderId="127" xfId="0" applyNumberFormat="1" applyFont="1" applyFill="1" applyBorder="1" applyAlignment="1">
      <alignment horizontal="center"/>
    </xf>
    <xf numFmtId="164" fontId="31" fillId="0" borderId="134" xfId="0" applyNumberFormat="1" applyFont="1" applyFill="1" applyBorder="1" applyAlignment="1">
      <alignment horizontal="center"/>
    </xf>
    <xf numFmtId="164" fontId="30" fillId="0" borderId="202" xfId="0" applyNumberFormat="1" applyFont="1" applyFill="1" applyBorder="1" applyAlignment="1" applyProtection="1">
      <alignment horizontal="center"/>
      <protection locked="0"/>
    </xf>
    <xf numFmtId="164" fontId="30" fillId="0" borderId="203" xfId="0" applyNumberFormat="1" applyFont="1" applyFill="1" applyBorder="1" applyAlignment="1" applyProtection="1">
      <alignment horizontal="center"/>
      <protection locked="0"/>
    </xf>
    <xf numFmtId="164" fontId="30" fillId="0" borderId="204" xfId="0" applyNumberFormat="1" applyFont="1" applyFill="1" applyBorder="1" applyAlignment="1" applyProtection="1">
      <alignment horizontal="center"/>
      <protection locked="0"/>
    </xf>
    <xf numFmtId="164" fontId="30" fillId="0" borderId="205" xfId="0" applyNumberFormat="1" applyFont="1" applyFill="1" applyBorder="1" applyAlignment="1" applyProtection="1">
      <alignment horizontal="center"/>
      <protection locked="0"/>
    </xf>
    <xf numFmtId="164" fontId="30" fillId="0" borderId="206" xfId="0" applyNumberFormat="1" applyFont="1" applyFill="1" applyBorder="1" applyAlignment="1" applyProtection="1">
      <alignment horizontal="center"/>
      <protection locked="0"/>
    </xf>
    <xf numFmtId="164" fontId="30" fillId="0" borderId="207" xfId="0" applyNumberFormat="1" applyFont="1" applyFill="1" applyBorder="1" applyAlignment="1" applyProtection="1">
      <alignment horizontal="center"/>
      <protection locked="0"/>
    </xf>
    <xf numFmtId="164" fontId="31" fillId="0" borderId="88" xfId="0" applyNumberFormat="1" applyFont="1" applyFill="1" applyBorder="1" applyAlignment="1">
      <alignment horizontal="center"/>
    </xf>
    <xf numFmtId="164" fontId="31" fillId="0" borderId="118" xfId="0" applyNumberFormat="1" applyFont="1" applyFill="1" applyBorder="1" applyAlignment="1">
      <alignment horizontal="center"/>
    </xf>
    <xf numFmtId="164" fontId="31" fillId="0" borderId="162" xfId="0" applyNumberFormat="1" applyFont="1" applyFill="1" applyBorder="1" applyAlignment="1">
      <alignment horizontal="center"/>
    </xf>
    <xf numFmtId="164" fontId="31" fillId="0" borderId="165" xfId="0" applyNumberFormat="1" applyFont="1" applyFill="1" applyBorder="1" applyAlignment="1">
      <alignment horizontal="center"/>
    </xf>
    <xf numFmtId="164" fontId="31" fillId="0" borderId="78" xfId="0" applyNumberFormat="1" applyFont="1" applyFill="1" applyBorder="1" applyAlignment="1">
      <alignment horizontal="center"/>
    </xf>
    <xf numFmtId="164" fontId="31" fillId="0" borderId="208" xfId="0" applyNumberFormat="1" applyFont="1" applyFill="1" applyBorder="1" applyAlignment="1">
      <alignment horizontal="center"/>
    </xf>
    <xf numFmtId="164" fontId="31" fillId="0" borderId="195" xfId="0" applyNumberFormat="1" applyFont="1" applyFill="1" applyBorder="1" applyAlignment="1">
      <alignment horizontal="center" vertical="center" wrapText="1"/>
    </xf>
    <xf numFmtId="164" fontId="31" fillId="0" borderId="168" xfId="0" applyNumberFormat="1" applyFont="1" applyFill="1" applyBorder="1" applyAlignment="1">
      <alignment horizontal="center"/>
    </xf>
    <xf numFmtId="164" fontId="31" fillId="0" borderId="81" xfId="0" applyNumberFormat="1" applyFont="1" applyFill="1" applyBorder="1" applyAlignment="1">
      <alignment horizontal="center" vertical="center" wrapText="1"/>
    </xf>
    <xf numFmtId="164" fontId="31" fillId="0" borderId="141" xfId="0" applyNumberFormat="1" applyFont="1" applyFill="1" applyBorder="1" applyAlignment="1">
      <alignment horizontal="center"/>
    </xf>
    <xf numFmtId="164" fontId="30" fillId="0" borderId="214" xfId="0" applyNumberFormat="1" applyFont="1" applyFill="1" applyBorder="1"/>
    <xf numFmtId="164" fontId="30" fillId="0" borderId="78" xfId="2" applyNumberFormat="1" applyFont="1" applyFill="1" applyBorder="1" applyAlignment="1" applyProtection="1">
      <alignment horizontal="center"/>
      <protection locked="0"/>
    </xf>
    <xf numFmtId="164" fontId="31" fillId="0" borderId="113" xfId="0" applyNumberFormat="1" applyFont="1" applyFill="1" applyBorder="1" applyAlignment="1">
      <alignment horizontal="center" vertical="center" wrapText="1"/>
    </xf>
    <xf numFmtId="164" fontId="31" fillId="0" borderId="196" xfId="0" applyNumberFormat="1" applyFont="1" applyFill="1" applyBorder="1" applyAlignment="1">
      <alignment horizontal="center" vertical="center" wrapText="1"/>
    </xf>
    <xf numFmtId="164" fontId="31" fillId="0" borderId="198" xfId="0" applyNumberFormat="1" applyFont="1" applyFill="1" applyBorder="1" applyAlignment="1">
      <alignment horizontal="center" vertical="center" wrapText="1"/>
    </xf>
    <xf numFmtId="0" fontId="0" fillId="0" borderId="133" xfId="0" applyBorder="1"/>
    <xf numFmtId="0" fontId="0" fillId="0" borderId="79" xfId="0" applyBorder="1"/>
    <xf numFmtId="164" fontId="31" fillId="0" borderId="216" xfId="0" applyNumberFormat="1" applyFont="1" applyFill="1" applyBorder="1" applyAlignment="1">
      <alignment horizontal="center" vertical="center" wrapText="1"/>
    </xf>
    <xf numFmtId="164" fontId="30" fillId="0" borderId="217" xfId="0" applyNumberFormat="1" applyFont="1" applyFill="1" applyBorder="1" applyAlignment="1" applyProtection="1">
      <alignment horizontal="center"/>
      <protection locked="0"/>
    </xf>
    <xf numFmtId="164" fontId="30" fillId="0" borderId="128" xfId="2" applyNumberFormat="1" applyFont="1" applyFill="1" applyBorder="1" applyAlignment="1" applyProtection="1">
      <alignment horizontal="center"/>
      <protection locked="0"/>
    </xf>
    <xf numFmtId="164" fontId="30" fillId="0" borderId="157" xfId="2" applyNumberFormat="1" applyFont="1" applyFill="1" applyBorder="1" applyAlignment="1" applyProtection="1">
      <alignment horizontal="center"/>
      <protection locked="0"/>
    </xf>
    <xf numFmtId="164" fontId="30" fillId="0" borderId="218" xfId="0" applyNumberFormat="1" applyFont="1" applyFill="1" applyBorder="1" applyAlignment="1" applyProtection="1">
      <alignment horizontal="center"/>
      <protection locked="0"/>
    </xf>
    <xf numFmtId="164" fontId="30" fillId="0" borderId="16" xfId="2" applyNumberFormat="1" applyFont="1" applyFill="1" applyBorder="1" applyAlignment="1" applyProtection="1">
      <alignment horizontal="center"/>
      <protection locked="0"/>
    </xf>
    <xf numFmtId="0" fontId="30" fillId="0" borderId="219" xfId="0" applyFont="1" applyFill="1" applyBorder="1"/>
    <xf numFmtId="164" fontId="31" fillId="0" borderId="220" xfId="0" applyNumberFormat="1" applyFont="1" applyFill="1" applyBorder="1" applyAlignment="1">
      <alignment horizontal="center" vertical="center" wrapText="1"/>
    </xf>
    <xf numFmtId="164" fontId="31" fillId="0" borderId="57" xfId="0" applyNumberFormat="1" applyFont="1" applyFill="1" applyBorder="1" applyAlignment="1">
      <alignment horizontal="center" vertical="center" wrapText="1"/>
    </xf>
    <xf numFmtId="164" fontId="30" fillId="0" borderId="221" xfId="0" applyNumberFormat="1" applyFont="1" applyFill="1" applyBorder="1" applyAlignment="1" applyProtection="1">
      <alignment horizontal="center"/>
      <protection locked="0"/>
    </xf>
    <xf numFmtId="164" fontId="30" fillId="0" borderId="184" xfId="0" applyNumberFormat="1" applyFont="1" applyFill="1" applyBorder="1" applyAlignment="1" applyProtection="1">
      <alignment horizontal="center"/>
      <protection locked="0"/>
    </xf>
    <xf numFmtId="164" fontId="30" fillId="0" borderId="82" xfId="0" applyNumberFormat="1" applyFont="1" applyFill="1" applyBorder="1" applyAlignment="1">
      <alignment horizontal="center"/>
    </xf>
    <xf numFmtId="164" fontId="30" fillId="0" borderId="83" xfId="0" applyNumberFormat="1" applyFont="1" applyFill="1" applyBorder="1" applyAlignment="1">
      <alignment horizontal="center"/>
    </xf>
    <xf numFmtId="164" fontId="30" fillId="0" borderId="80" xfId="0" applyNumberFormat="1" applyFont="1" applyFill="1" applyBorder="1" applyAlignment="1">
      <alignment horizontal="center"/>
    </xf>
    <xf numFmtId="164" fontId="30" fillId="0" borderId="79" xfId="0" applyNumberFormat="1" applyFont="1" applyFill="1" applyBorder="1" applyAlignment="1">
      <alignment horizontal="center"/>
    </xf>
    <xf numFmtId="164" fontId="31" fillId="0" borderId="214" xfId="0" applyNumberFormat="1" applyFont="1" applyFill="1" applyBorder="1"/>
    <xf numFmtId="164" fontId="30" fillId="0" borderId="134" xfId="0" applyNumberFormat="1" applyFont="1" applyFill="1" applyBorder="1"/>
    <xf numFmtId="164" fontId="31" fillId="0" borderId="135" xfId="0" applyNumberFormat="1" applyFont="1" applyFill="1" applyBorder="1" applyAlignment="1">
      <alignment horizontal="center"/>
    </xf>
    <xf numFmtId="164" fontId="30" fillId="0" borderId="153" xfId="0" applyNumberFormat="1" applyFont="1" applyFill="1" applyBorder="1"/>
    <xf numFmtId="164" fontId="30" fillId="0" borderId="123" xfId="0" applyNumberFormat="1" applyFont="1" applyFill="1" applyBorder="1"/>
    <xf numFmtId="164" fontId="30" fillId="0" borderId="222" xfId="0" applyNumberFormat="1" applyFont="1" applyFill="1" applyBorder="1"/>
    <xf numFmtId="164" fontId="30" fillId="0" borderId="223" xfId="0" applyNumberFormat="1" applyFont="1" applyFill="1" applyBorder="1"/>
    <xf numFmtId="164" fontId="30" fillId="0" borderId="124" xfId="0" applyNumberFormat="1" applyFont="1" applyFill="1" applyBorder="1"/>
    <xf numFmtId="164" fontId="30" fillId="0" borderId="132" xfId="0" applyNumberFormat="1" applyFont="1" applyFill="1" applyBorder="1"/>
    <xf numFmtId="164" fontId="30" fillId="0" borderId="122" xfId="0" applyNumberFormat="1" applyFont="1" applyFill="1" applyBorder="1"/>
    <xf numFmtId="164" fontId="30" fillId="0" borderId="224" xfId="0" applyNumberFormat="1" applyFont="1" applyFill="1" applyBorder="1"/>
    <xf numFmtId="164" fontId="30" fillId="0" borderId="121" xfId="0" applyNumberFormat="1" applyFont="1" applyFill="1" applyBorder="1"/>
    <xf numFmtId="164" fontId="30" fillId="0" borderId="80" xfId="0" applyNumberFormat="1" applyFont="1" applyFill="1" applyBorder="1"/>
    <xf numFmtId="164" fontId="30" fillId="0" borderId="79" xfId="0" applyNumberFormat="1" applyFont="1" applyFill="1" applyBorder="1"/>
    <xf numFmtId="164" fontId="31" fillId="0" borderId="223" xfId="0" applyNumberFormat="1" applyFont="1" applyFill="1" applyBorder="1"/>
    <xf numFmtId="164" fontId="31" fillId="0" borderId="153" xfId="0" applyNumberFormat="1" applyFont="1" applyFill="1" applyBorder="1"/>
    <xf numFmtId="164" fontId="31" fillId="0" borderId="123" xfId="0" applyNumberFormat="1" applyFont="1" applyFill="1" applyBorder="1"/>
    <xf numFmtId="164" fontId="31" fillId="0" borderId="222" xfId="0" applyNumberFormat="1" applyFont="1" applyFill="1" applyBorder="1"/>
    <xf numFmtId="164" fontId="31" fillId="0" borderId="124" xfId="0" applyNumberFormat="1" applyFont="1" applyFill="1" applyBorder="1"/>
    <xf numFmtId="164" fontId="31" fillId="0" borderId="132" xfId="0" applyNumberFormat="1" applyFont="1" applyFill="1" applyBorder="1"/>
    <xf numFmtId="164" fontId="31" fillId="0" borderId="122" xfId="0" applyNumberFormat="1" applyFont="1" applyFill="1" applyBorder="1"/>
    <xf numFmtId="164" fontId="31" fillId="0" borderId="224" xfId="0" applyNumberFormat="1" applyFont="1" applyFill="1" applyBorder="1"/>
    <xf numFmtId="164" fontId="31" fillId="0" borderId="122" xfId="0" applyNumberFormat="1" applyFont="1" applyFill="1" applyBorder="1" applyAlignment="1">
      <alignment vertical="center"/>
    </xf>
    <xf numFmtId="164" fontId="31" fillId="0" borderId="80" xfId="0" applyNumberFormat="1" applyFont="1" applyFill="1" applyBorder="1"/>
    <xf numFmtId="164" fontId="31" fillId="0" borderId="225" xfId="0" applyNumberFormat="1" applyFont="1" applyFill="1" applyBorder="1" applyAlignment="1">
      <alignment horizontal="center"/>
    </xf>
    <xf numFmtId="164" fontId="30" fillId="0" borderId="175" xfId="0" applyNumberFormat="1" applyFont="1" applyFill="1" applyBorder="1" applyAlignment="1">
      <alignment horizontal="center"/>
    </xf>
    <xf numFmtId="164" fontId="31" fillId="0" borderId="71" xfId="0" applyNumberFormat="1" applyFont="1" applyFill="1" applyBorder="1" applyAlignment="1">
      <alignment horizontal="center"/>
    </xf>
    <xf numFmtId="164" fontId="30" fillId="0" borderId="128" xfId="0" applyNumberFormat="1" applyFont="1" applyFill="1" applyBorder="1"/>
    <xf numFmtId="164" fontId="31" fillId="0" borderId="157" xfId="0" applyNumberFormat="1" applyFont="1" applyFill="1" applyBorder="1" applyAlignment="1">
      <alignment horizontal="center"/>
    </xf>
    <xf numFmtId="164" fontId="31" fillId="0" borderId="176" xfId="0" applyNumberFormat="1" applyFont="1" applyFill="1" applyBorder="1" applyAlignment="1">
      <alignment horizontal="center"/>
    </xf>
    <xf numFmtId="164" fontId="31" fillId="0" borderId="177" xfId="0" applyNumberFormat="1" applyFont="1" applyFill="1" applyBorder="1" applyAlignment="1">
      <alignment horizontal="center"/>
    </xf>
    <xf numFmtId="164" fontId="31" fillId="0" borderId="128" xfId="0" applyNumberFormat="1" applyFont="1" applyFill="1" applyBorder="1" applyAlignment="1">
      <alignment horizontal="center"/>
    </xf>
    <xf numFmtId="164" fontId="30" fillId="0" borderId="126" xfId="0" applyNumberFormat="1" applyFont="1" applyFill="1" applyBorder="1" applyAlignment="1">
      <alignment horizontal="center"/>
    </xf>
    <xf numFmtId="164" fontId="31" fillId="0" borderId="131" xfId="0" applyNumberFormat="1" applyFont="1" applyFill="1" applyBorder="1" applyAlignment="1">
      <alignment horizontal="center"/>
    </xf>
    <xf numFmtId="164" fontId="30" fillId="0" borderId="78" xfId="0" applyNumberFormat="1" applyFont="1" applyFill="1" applyBorder="1" applyAlignment="1">
      <alignment horizontal="center"/>
    </xf>
    <xf numFmtId="164" fontId="30" fillId="0" borderId="192" xfId="0" applyNumberFormat="1" applyFont="1" applyFill="1" applyBorder="1" applyAlignment="1">
      <alignment horizontal="center"/>
    </xf>
    <xf numFmtId="164" fontId="30" fillId="0" borderId="129" xfId="0" applyNumberFormat="1" applyFont="1" applyFill="1" applyBorder="1" applyAlignment="1">
      <alignment horizontal="center"/>
    </xf>
    <xf numFmtId="164" fontId="31" fillId="0" borderId="129" xfId="0" applyNumberFormat="1" applyFont="1" applyFill="1" applyBorder="1" applyAlignment="1">
      <alignment horizontal="center"/>
    </xf>
    <xf numFmtId="164" fontId="30" fillId="0" borderId="199" xfId="0" applyNumberFormat="1" applyFont="1" applyFill="1" applyBorder="1" applyAlignment="1">
      <alignment horizontal="center"/>
    </xf>
    <xf numFmtId="164" fontId="31" fillId="0" borderId="189" xfId="0" applyNumberFormat="1" applyFont="1" applyFill="1" applyBorder="1" applyAlignment="1">
      <alignment horizontal="center"/>
    </xf>
    <xf numFmtId="164" fontId="31" fillId="0" borderId="226" xfId="0" applyNumberFormat="1" applyFont="1" applyFill="1" applyBorder="1" applyAlignment="1">
      <alignment horizontal="center"/>
    </xf>
    <xf numFmtId="164" fontId="30" fillId="0" borderId="132" xfId="0" applyNumberFormat="1" applyFont="1" applyFill="1" applyBorder="1" applyAlignment="1">
      <alignment horizontal="center"/>
    </xf>
    <xf numFmtId="164" fontId="31" fillId="0" borderId="139" xfId="0" applyNumberFormat="1" applyFont="1" applyFill="1" applyBorder="1" applyAlignment="1">
      <alignment horizontal="center"/>
    </xf>
    <xf numFmtId="164" fontId="30" fillId="0" borderId="136" xfId="0" applyNumberFormat="1" applyFont="1" applyFill="1" applyBorder="1" applyAlignment="1">
      <alignment horizontal="center"/>
    </xf>
    <xf numFmtId="164" fontId="30" fillId="0" borderId="88" xfId="0" applyNumberFormat="1" applyFont="1" applyFill="1" applyBorder="1" applyAlignment="1">
      <alignment horizontal="center"/>
    </xf>
    <xf numFmtId="164" fontId="30" fillId="0" borderId="152" xfId="0" applyNumberFormat="1" applyFont="1" applyFill="1" applyBorder="1" applyAlignment="1">
      <alignment horizontal="center"/>
    </xf>
    <xf numFmtId="164" fontId="31" fillId="0" borderId="199" xfId="0" applyNumberFormat="1" applyFont="1" applyFill="1" applyBorder="1" applyAlignment="1">
      <alignment horizontal="center"/>
    </xf>
    <xf numFmtId="164" fontId="31" fillId="0" borderId="79" xfId="0" applyNumberFormat="1" applyFont="1" applyFill="1" applyBorder="1" applyAlignment="1">
      <alignment horizontal="center"/>
    </xf>
    <xf numFmtId="164" fontId="30" fillId="0" borderId="158" xfId="0" applyNumberFormat="1" applyFont="1" applyFill="1" applyBorder="1" applyAlignment="1">
      <alignment horizontal="center"/>
    </xf>
    <xf numFmtId="164" fontId="31" fillId="0" borderId="156" xfId="0" applyNumberFormat="1" applyFont="1" applyFill="1" applyBorder="1" applyAlignment="1">
      <alignment horizontal="center"/>
    </xf>
    <xf numFmtId="164" fontId="31" fillId="0" borderId="173" xfId="0" applyNumberFormat="1" applyFont="1" applyFill="1" applyBorder="1" applyAlignment="1">
      <alignment horizontal="center"/>
    </xf>
    <xf numFmtId="164" fontId="30" fillId="0" borderId="173" xfId="0" applyNumberFormat="1" applyFont="1" applyFill="1" applyBorder="1" applyAlignment="1">
      <alignment horizontal="center"/>
    </xf>
    <xf numFmtId="164" fontId="30" fillId="0" borderId="174" xfId="0" applyNumberFormat="1" applyFont="1" applyFill="1" applyBorder="1" applyAlignment="1">
      <alignment horizontal="center"/>
    </xf>
    <xf numFmtId="164" fontId="31" fillId="0" borderId="137" xfId="0" applyNumberFormat="1" applyFont="1" applyFill="1" applyBorder="1" applyAlignment="1">
      <alignment horizontal="center"/>
    </xf>
    <xf numFmtId="164" fontId="30" fillId="0" borderId="88" xfId="0" applyNumberFormat="1" applyFont="1" applyFill="1" applyBorder="1"/>
    <xf numFmtId="164" fontId="31" fillId="0" borderId="73" xfId="0" applyNumberFormat="1" applyFont="1" applyFill="1" applyBorder="1" applyAlignment="1">
      <alignment horizontal="center"/>
    </xf>
    <xf numFmtId="164" fontId="30" fillId="0" borderId="73" xfId="0" applyNumberFormat="1" applyFont="1" applyFill="1" applyBorder="1" applyAlignment="1">
      <alignment horizontal="center"/>
    </xf>
    <xf numFmtId="164" fontId="30" fillId="0" borderId="209" xfId="0" applyNumberFormat="1" applyFont="1" applyFill="1" applyBorder="1" applyAlignment="1">
      <alignment horizontal="center"/>
    </xf>
    <xf numFmtId="164" fontId="30" fillId="0" borderId="191" xfId="0" applyNumberFormat="1" applyFont="1" applyFill="1" applyBorder="1" applyAlignment="1">
      <alignment horizontal="center"/>
    </xf>
    <xf numFmtId="164" fontId="30" fillId="0" borderId="133" xfId="0" applyNumberFormat="1" applyFont="1" applyFill="1" applyBorder="1"/>
    <xf numFmtId="164" fontId="31" fillId="0" borderId="133" xfId="0" applyNumberFormat="1" applyFont="1" applyFill="1" applyBorder="1"/>
    <xf numFmtId="164" fontId="30" fillId="0" borderId="117" xfId="0" applyNumberFormat="1" applyFont="1" applyFill="1" applyBorder="1" applyAlignment="1">
      <alignment horizontal="center"/>
    </xf>
    <xf numFmtId="164" fontId="31" fillId="0" borderId="227" xfId="0" applyNumberFormat="1" applyFont="1" applyFill="1" applyBorder="1" applyAlignment="1">
      <alignment horizontal="center"/>
    </xf>
    <xf numFmtId="164" fontId="31" fillId="0" borderId="210" xfId="0" applyNumberFormat="1" applyFont="1" applyFill="1" applyBorder="1" applyAlignment="1">
      <alignment horizontal="center"/>
    </xf>
    <xf numFmtId="164" fontId="30" fillId="0" borderId="133" xfId="0" applyNumberFormat="1" applyFont="1" applyFill="1" applyBorder="1" applyAlignment="1">
      <alignment horizontal="center"/>
    </xf>
    <xf numFmtId="164" fontId="30" fillId="0" borderId="196" xfId="0" applyNumberFormat="1" applyFont="1" applyFill="1" applyBorder="1" applyAlignment="1">
      <alignment horizontal="center"/>
    </xf>
    <xf numFmtId="164" fontId="31" fillId="0" borderId="197" xfId="0" applyNumberFormat="1" applyFont="1" applyFill="1" applyBorder="1" applyAlignment="1">
      <alignment horizontal="center"/>
    </xf>
    <xf numFmtId="164" fontId="30" fillId="0" borderId="78" xfId="0" applyNumberFormat="1" applyFont="1" applyFill="1" applyBorder="1"/>
    <xf numFmtId="164" fontId="31" fillId="0" borderId="65" xfId="0" applyNumberFormat="1" applyFont="1" applyFill="1" applyBorder="1" applyAlignment="1">
      <alignment horizontal="center"/>
    </xf>
    <xf numFmtId="164" fontId="30" fillId="0" borderId="65" xfId="0" applyNumberFormat="1" applyFont="1" applyFill="1" applyBorder="1" applyAlignment="1">
      <alignment horizontal="center"/>
    </xf>
    <xf numFmtId="164" fontId="30" fillId="0" borderId="211" xfId="0" applyNumberFormat="1" applyFont="1" applyFill="1" applyBorder="1" applyAlignment="1">
      <alignment horizontal="center"/>
    </xf>
    <xf numFmtId="164" fontId="31" fillId="0" borderId="212" xfId="0" applyNumberFormat="1" applyFont="1" applyFill="1" applyBorder="1" applyAlignment="1">
      <alignment horizontal="center"/>
    </xf>
    <xf numFmtId="164" fontId="30" fillId="0" borderId="72" xfId="0" applyNumberFormat="1" applyFont="1" applyFill="1" applyBorder="1" applyAlignment="1">
      <alignment horizontal="center"/>
    </xf>
    <xf numFmtId="164" fontId="30" fillId="0" borderId="213" xfId="0" applyNumberFormat="1" applyFont="1" applyFill="1" applyBorder="1" applyAlignment="1">
      <alignment horizontal="center"/>
    </xf>
    <xf numFmtId="164" fontId="30" fillId="0" borderId="227" xfId="0" applyNumberFormat="1" applyFont="1" applyFill="1" applyBorder="1" applyAlignment="1">
      <alignment horizontal="center"/>
    </xf>
    <xf numFmtId="164" fontId="30" fillId="0" borderId="210" xfId="0" applyNumberFormat="1" applyFont="1" applyFill="1" applyBorder="1" applyAlignment="1">
      <alignment horizontal="center"/>
    </xf>
    <xf numFmtId="164" fontId="30" fillId="0" borderId="197" xfId="0" applyNumberFormat="1" applyFont="1" applyFill="1" applyBorder="1" applyAlignment="1">
      <alignment horizontal="center"/>
    </xf>
    <xf numFmtId="164" fontId="31" fillId="0" borderId="192" xfId="0" applyNumberFormat="1" applyFont="1" applyFill="1" applyBorder="1" applyAlignment="1">
      <alignment horizontal="center"/>
    </xf>
    <xf numFmtId="164" fontId="31" fillId="0" borderId="171" xfId="0" applyNumberFormat="1" applyFont="1" applyFill="1" applyBorder="1" applyAlignment="1">
      <alignment horizontal="center"/>
    </xf>
    <xf numFmtId="164" fontId="31" fillId="0" borderId="228" xfId="0" applyNumberFormat="1" applyFont="1" applyFill="1" applyBorder="1" applyAlignment="1">
      <alignment horizontal="center"/>
    </xf>
    <xf numFmtId="164" fontId="30" fillId="0" borderId="6" xfId="0" applyNumberFormat="1" applyFont="1" applyFill="1" applyBorder="1" applyAlignment="1">
      <alignment horizontal="center"/>
    </xf>
    <xf numFmtId="164" fontId="31" fillId="0" borderId="136" xfId="0" applyNumberFormat="1" applyFont="1" applyFill="1" applyBorder="1" applyAlignment="1">
      <alignment horizontal="center"/>
    </xf>
    <xf numFmtId="164" fontId="31" fillId="0" borderId="181" xfId="0" applyNumberFormat="1" applyFont="1" applyFill="1" applyBorder="1" applyAlignment="1">
      <alignment horizontal="center"/>
    </xf>
    <xf numFmtId="164" fontId="31" fillId="0" borderId="182" xfId="0" applyNumberFormat="1" applyFont="1" applyFill="1" applyBorder="1" applyAlignment="1">
      <alignment horizontal="center"/>
    </xf>
    <xf numFmtId="164" fontId="30" fillId="0" borderId="182" xfId="0" applyNumberFormat="1" applyFont="1" applyFill="1" applyBorder="1" applyAlignment="1">
      <alignment horizontal="center"/>
    </xf>
    <xf numFmtId="164" fontId="30" fillId="0" borderId="183" xfId="0" applyNumberFormat="1" applyFont="1" applyFill="1" applyBorder="1" applyAlignment="1">
      <alignment horizontal="center"/>
    </xf>
    <xf numFmtId="164" fontId="31" fillId="0" borderId="57" xfId="0" applyNumberFormat="1" applyFont="1" applyFill="1" applyBorder="1" applyAlignment="1">
      <alignment horizontal="center"/>
    </xf>
    <xf numFmtId="164" fontId="30" fillId="0" borderId="57" xfId="0" applyNumberFormat="1" applyFont="1" applyFill="1" applyBorder="1" applyAlignment="1">
      <alignment horizontal="center"/>
    </xf>
    <xf numFmtId="164" fontId="30" fillId="0" borderId="61" xfId="0" applyNumberFormat="1" applyFont="1" applyFill="1" applyBorder="1" applyAlignment="1">
      <alignment horizontal="center"/>
    </xf>
    <xf numFmtId="164" fontId="31" fillId="0" borderId="58" xfId="0" applyNumberFormat="1" applyFont="1" applyFill="1" applyBorder="1" applyAlignment="1">
      <alignment horizontal="center"/>
    </xf>
    <xf numFmtId="164" fontId="31" fillId="0" borderId="229" xfId="0" applyNumberFormat="1" applyFont="1" applyFill="1" applyBorder="1" applyAlignment="1">
      <alignment horizontal="center" vertical="center" wrapText="1"/>
    </xf>
    <xf numFmtId="164" fontId="31" fillId="0" borderId="154" xfId="0" applyNumberFormat="1" applyFont="1" applyFill="1" applyBorder="1" applyAlignment="1">
      <alignment horizontal="center"/>
    </xf>
    <xf numFmtId="164" fontId="31" fillId="0" borderId="220" xfId="0" applyNumberFormat="1" applyFont="1" applyFill="1" applyBorder="1" applyAlignment="1">
      <alignment horizontal="center"/>
    </xf>
    <xf numFmtId="164" fontId="31" fillId="0" borderId="231" xfId="0" applyNumberFormat="1" applyFont="1" applyFill="1" applyBorder="1" applyAlignment="1">
      <alignment horizontal="center"/>
    </xf>
    <xf numFmtId="164" fontId="31" fillId="0" borderId="232" xfId="0" applyNumberFormat="1" applyFont="1" applyFill="1" applyBorder="1" applyAlignment="1">
      <alignment horizontal="center"/>
    </xf>
    <xf numFmtId="164" fontId="31" fillId="0" borderId="89" xfId="0" applyNumberFormat="1" applyFont="1" applyFill="1" applyBorder="1" applyAlignment="1">
      <alignment horizontal="center"/>
    </xf>
    <xf numFmtId="164" fontId="31" fillId="0" borderId="233" xfId="0" applyNumberFormat="1" applyFont="1" applyFill="1" applyBorder="1" applyAlignment="1">
      <alignment horizontal="center"/>
    </xf>
    <xf numFmtId="164" fontId="30" fillId="0" borderId="234" xfId="0" applyNumberFormat="1" applyFont="1" applyFill="1" applyBorder="1"/>
    <xf numFmtId="164" fontId="31" fillId="0" borderId="193" xfId="0" applyNumberFormat="1" applyFont="1" applyFill="1" applyBorder="1" applyAlignment="1">
      <alignment horizontal="center" vertical="center" wrapText="1"/>
    </xf>
    <xf numFmtId="164" fontId="30" fillId="0" borderId="235" xfId="0" applyNumberFormat="1" applyFont="1" applyFill="1" applyBorder="1" applyAlignment="1" applyProtection="1">
      <alignment horizontal="center"/>
      <protection locked="0"/>
    </xf>
    <xf numFmtId="164" fontId="30" fillId="0" borderId="236" xfId="0" applyNumberFormat="1" applyFont="1" applyFill="1" applyBorder="1" applyAlignment="1" applyProtection="1">
      <alignment horizontal="center"/>
      <protection locked="0"/>
    </xf>
    <xf numFmtId="164" fontId="31" fillId="0" borderId="231" xfId="0" applyNumberFormat="1" applyFont="1" applyFill="1" applyBorder="1" applyAlignment="1">
      <alignment horizontal="center" vertical="center" wrapText="1"/>
    </xf>
    <xf numFmtId="164" fontId="30" fillId="0" borderId="89" xfId="0" applyNumberFormat="1" applyFont="1" applyFill="1" applyBorder="1" applyAlignment="1" applyProtection="1">
      <alignment horizontal="center"/>
      <protection locked="0"/>
    </xf>
    <xf numFmtId="164" fontId="30" fillId="0" borderId="233" xfId="0" applyNumberFormat="1" applyFont="1" applyFill="1" applyBorder="1" applyAlignment="1" applyProtection="1">
      <alignment horizontal="center"/>
      <protection locked="0"/>
    </xf>
    <xf numFmtId="164" fontId="30" fillId="0" borderId="237" xfId="0" applyNumberFormat="1" applyFont="1" applyFill="1" applyBorder="1" applyAlignment="1" applyProtection="1">
      <alignment horizontal="center"/>
      <protection locked="0"/>
    </xf>
    <xf numFmtId="164" fontId="30" fillId="0" borderId="238" xfId="0" applyNumberFormat="1" applyFont="1" applyFill="1" applyBorder="1" applyAlignment="1" applyProtection="1">
      <alignment horizontal="center"/>
      <protection locked="0"/>
    </xf>
    <xf numFmtId="164" fontId="30" fillId="0" borderId="239" xfId="0" applyNumberFormat="1" applyFont="1" applyFill="1" applyBorder="1" applyAlignment="1" applyProtection="1">
      <alignment horizontal="center"/>
      <protection locked="0"/>
    </xf>
    <xf numFmtId="164" fontId="30" fillId="0" borderId="194" xfId="2" applyNumberFormat="1" applyFont="1" applyFill="1" applyBorder="1" applyAlignment="1" applyProtection="1">
      <alignment horizontal="center"/>
      <protection locked="0"/>
    </xf>
    <xf numFmtId="0" fontId="0" fillId="0" borderId="194" xfId="0" applyBorder="1"/>
    <xf numFmtId="164" fontId="31" fillId="0" borderId="240" xfId="0" applyNumberFormat="1" applyFont="1" applyFill="1" applyBorder="1" applyAlignment="1">
      <alignment horizontal="center" vertical="center" wrapText="1"/>
    </xf>
    <xf numFmtId="164" fontId="30" fillId="0" borderId="241" xfId="0" applyNumberFormat="1" applyFont="1" applyFill="1" applyBorder="1" applyAlignment="1" applyProtection="1">
      <alignment horizontal="center"/>
      <protection locked="0"/>
    </xf>
    <xf numFmtId="164" fontId="30" fillId="0" borderId="242" xfId="0" applyNumberFormat="1" applyFont="1" applyFill="1" applyBorder="1" applyAlignment="1" applyProtection="1">
      <alignment horizontal="center"/>
      <protection locked="0"/>
    </xf>
    <xf numFmtId="164" fontId="31" fillId="0" borderId="216" xfId="0" applyNumberFormat="1" applyFont="1" applyFill="1" applyBorder="1" applyAlignment="1">
      <alignment horizontal="center"/>
    </xf>
    <xf numFmtId="164" fontId="31" fillId="0" borderId="243" xfId="0" applyNumberFormat="1" applyFont="1" applyFill="1" applyBorder="1" applyAlignment="1">
      <alignment horizontal="center"/>
    </xf>
    <xf numFmtId="164" fontId="31" fillId="0" borderId="244" xfId="0" applyNumberFormat="1" applyFont="1" applyFill="1" applyBorder="1" applyAlignment="1">
      <alignment horizontal="center"/>
    </xf>
    <xf numFmtId="0" fontId="31" fillId="0" borderId="215" xfId="0" applyFont="1" applyFill="1" applyBorder="1" applyAlignment="1">
      <alignment horizontal="center" vertical="center" wrapText="1"/>
    </xf>
    <xf numFmtId="0" fontId="30" fillId="0" borderId="215" xfId="0" applyFont="1" applyFill="1" applyBorder="1" applyAlignment="1">
      <alignment horizontal="center" vertical="center"/>
    </xf>
    <xf numFmtId="0" fontId="30" fillId="0" borderId="245" xfId="0" applyFont="1" applyFill="1" applyBorder="1" applyAlignment="1">
      <alignment horizontal="center" vertical="center"/>
    </xf>
    <xf numFmtId="0" fontId="30" fillId="0" borderId="230" xfId="0" applyFont="1" applyFill="1" applyBorder="1" applyAlignment="1">
      <alignment horizontal="center" vertical="center"/>
    </xf>
    <xf numFmtId="0" fontId="31" fillId="0" borderId="246" xfId="0" applyFont="1" applyFill="1" applyBorder="1" applyAlignment="1">
      <alignment horizontal="center" vertical="center" wrapText="1"/>
    </xf>
    <xf numFmtId="0" fontId="30" fillId="0" borderId="215" xfId="0" applyFont="1" applyFill="1" applyBorder="1" applyAlignment="1">
      <alignment horizontal="center" vertical="center" wrapText="1"/>
    </xf>
    <xf numFmtId="164" fontId="30" fillId="0" borderId="231" xfId="0" applyNumberFormat="1" applyFont="1" applyFill="1" applyBorder="1" applyAlignment="1">
      <alignment horizontal="center" vertical="center"/>
    </xf>
    <xf numFmtId="164" fontId="31" fillId="0" borderId="231" xfId="0" applyNumberFormat="1" applyFont="1" applyFill="1" applyBorder="1" applyAlignment="1">
      <alignment horizontal="left" vertical="center"/>
    </xf>
    <xf numFmtId="164" fontId="30" fillId="0" borderId="220" xfId="0" applyNumberFormat="1" applyFont="1" applyFill="1" applyBorder="1" applyAlignment="1">
      <alignment horizontal="center" vertical="center"/>
    </xf>
    <xf numFmtId="164" fontId="31" fillId="0" borderId="89" xfId="0" applyNumberFormat="1" applyFont="1" applyFill="1" applyBorder="1" applyAlignment="1">
      <alignment horizontal="center" vertical="center" wrapText="1"/>
    </xf>
    <xf numFmtId="164" fontId="31" fillId="0" borderId="232" xfId="0" applyNumberFormat="1" applyFont="1" applyFill="1" applyBorder="1" applyAlignment="1">
      <alignment horizontal="center" vertical="center" wrapText="1"/>
    </xf>
    <xf numFmtId="164" fontId="31" fillId="0" borderId="247" xfId="0" applyNumberFormat="1" applyFont="1" applyFill="1" applyBorder="1" applyAlignment="1">
      <alignment horizontal="center" vertical="center" wrapText="1"/>
    </xf>
    <xf numFmtId="164" fontId="30" fillId="0" borderId="176" xfId="0" applyNumberFormat="1" applyFont="1" applyFill="1" applyBorder="1"/>
    <xf numFmtId="164" fontId="30" fillId="0" borderId="147" xfId="0" applyNumberFormat="1" applyFont="1" applyFill="1" applyBorder="1"/>
    <xf numFmtId="164" fontId="30" fillId="0" borderId="113" xfId="0" applyNumberFormat="1" applyFont="1" applyFill="1" applyBorder="1" applyAlignment="1" applyProtection="1">
      <alignment horizontal="center"/>
      <protection locked="0"/>
    </xf>
    <xf numFmtId="164" fontId="30" fillId="0" borderId="189" xfId="0" applyNumberFormat="1" applyFont="1" applyFill="1" applyBorder="1"/>
    <xf numFmtId="164" fontId="30" fillId="0" borderId="174" xfId="0" applyNumberFormat="1" applyFont="1" applyFill="1" applyBorder="1"/>
    <xf numFmtId="164" fontId="30" fillId="0" borderId="131" xfId="0" applyNumberFormat="1" applyFont="1" applyFill="1" applyBorder="1"/>
    <xf numFmtId="164" fontId="30" fillId="0" borderId="177" xfId="0" applyNumberFormat="1" applyFont="1" applyFill="1" applyBorder="1"/>
    <xf numFmtId="164" fontId="31" fillId="0" borderId="61" xfId="0" applyNumberFormat="1" applyFont="1" applyFill="1" applyBorder="1" applyAlignment="1">
      <alignment horizontal="center"/>
    </xf>
    <xf numFmtId="164" fontId="31" fillId="0" borderId="2" xfId="0" applyNumberFormat="1" applyFont="1" applyFill="1" applyBorder="1"/>
    <xf numFmtId="0" fontId="0" fillId="0" borderId="219" xfId="0" applyBorder="1"/>
    <xf numFmtId="164" fontId="30" fillId="0" borderId="172" xfId="0" applyNumberFormat="1" applyFont="1" applyFill="1" applyBorder="1" applyAlignment="1" applyProtection="1">
      <alignment horizontal="center"/>
      <protection locked="0"/>
    </xf>
    <xf numFmtId="164" fontId="30" fillId="0" borderId="248" xfId="0" applyNumberFormat="1" applyFont="1" applyFill="1" applyBorder="1" applyAlignment="1" applyProtection="1">
      <alignment horizontal="center"/>
      <protection locked="0"/>
    </xf>
    <xf numFmtId="164" fontId="30" fillId="0" borderId="181" xfId="0" applyNumberFormat="1" applyFont="1" applyFill="1" applyBorder="1" applyAlignment="1">
      <alignment horizontal="left"/>
    </xf>
    <xf numFmtId="164" fontId="31" fillId="0" borderId="182" xfId="0" applyNumberFormat="1" applyFont="1" applyFill="1" applyBorder="1"/>
    <xf numFmtId="164" fontId="30" fillId="0" borderId="182" xfId="0" applyNumberFormat="1" applyFont="1" applyFill="1" applyBorder="1"/>
    <xf numFmtId="164" fontId="31" fillId="0" borderId="183" xfId="0" applyNumberFormat="1" applyFont="1" applyFill="1" applyBorder="1" applyAlignment="1">
      <alignment horizontal="center" vertical="center" wrapText="1"/>
    </xf>
    <xf numFmtId="164" fontId="31" fillId="0" borderId="221" xfId="0" applyNumberFormat="1" applyFont="1" applyFill="1" applyBorder="1" applyAlignment="1">
      <alignment horizontal="center"/>
    </xf>
    <xf numFmtId="164" fontId="31" fillId="0" borderId="184" xfId="0" applyNumberFormat="1" applyFon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left" vertical="center" wrapText="1"/>
    </xf>
    <xf numFmtId="164" fontId="31" fillId="0" borderId="249" xfId="0" applyNumberFormat="1" applyFont="1" applyFill="1" applyBorder="1" applyAlignment="1">
      <alignment horizontal="center" vertical="center" wrapText="1"/>
    </xf>
    <xf numFmtId="164" fontId="31" fillId="0" borderId="250" xfId="0" applyNumberFormat="1" applyFont="1" applyFill="1" applyBorder="1" applyAlignment="1">
      <alignment horizontal="center" vertical="center" wrapText="1"/>
    </xf>
    <xf numFmtId="164" fontId="31" fillId="0" borderId="189" xfId="0" applyNumberFormat="1" applyFont="1" applyFill="1" applyBorder="1"/>
    <xf numFmtId="164" fontId="30" fillId="0" borderId="173" xfId="0" applyNumberFormat="1" applyFont="1" applyFill="1" applyBorder="1"/>
    <xf numFmtId="164" fontId="31" fillId="0" borderId="195" xfId="0" applyNumberFormat="1" applyFont="1" applyFill="1" applyBorder="1" applyAlignment="1">
      <alignment horizontal="center"/>
    </xf>
    <xf numFmtId="164" fontId="30" fillId="0" borderId="225" xfId="0" applyNumberFormat="1" applyFont="1" applyFill="1" applyBorder="1"/>
    <xf numFmtId="164" fontId="31" fillId="0" borderId="160" xfId="0" applyNumberFormat="1" applyFont="1" applyFill="1" applyBorder="1" applyAlignment="1">
      <alignment horizontal="center"/>
    </xf>
    <xf numFmtId="164" fontId="31" fillId="0" borderId="251" xfId="0" applyNumberFormat="1" applyFont="1" applyFill="1" applyBorder="1" applyAlignment="1">
      <alignment horizontal="center" vertical="center" wrapText="1"/>
    </xf>
    <xf numFmtId="164" fontId="31" fillId="0" borderId="198" xfId="0" applyNumberFormat="1" applyFont="1" applyFill="1" applyBorder="1" applyAlignment="1">
      <alignment horizontal="center"/>
    </xf>
    <xf numFmtId="164" fontId="30" fillId="0" borderId="151" xfId="0" applyNumberFormat="1" applyFont="1" applyFill="1" applyBorder="1"/>
    <xf numFmtId="164" fontId="31" fillId="0" borderId="151" xfId="0" applyNumberFormat="1" applyFont="1" applyFill="1" applyBorder="1"/>
    <xf numFmtId="164" fontId="30" fillId="0" borderId="143" xfId="0" applyNumberFormat="1" applyFont="1" applyFill="1" applyBorder="1"/>
    <xf numFmtId="164" fontId="31" fillId="0" borderId="151" xfId="0" applyNumberFormat="1" applyFont="1" applyFill="1" applyBorder="1" applyAlignment="1">
      <alignment vertical="center" wrapText="1"/>
    </xf>
    <xf numFmtId="164" fontId="30" fillId="0" borderId="146" xfId="0" applyNumberFormat="1" applyFont="1" applyFill="1" applyBorder="1"/>
    <xf numFmtId="1" fontId="30" fillId="0" borderId="151" xfId="0" applyNumberFormat="1" applyFont="1" applyFill="1" applyBorder="1" applyAlignment="1">
      <alignment horizontal="left"/>
    </xf>
    <xf numFmtId="164" fontId="30" fillId="0" borderId="143" xfId="0" applyNumberFormat="1" applyFont="1" applyFill="1" applyBorder="1" applyAlignment="1">
      <alignment horizontal="left"/>
    </xf>
    <xf numFmtId="1" fontId="30" fillId="0" borderId="124" xfId="0" applyNumberFormat="1" applyFont="1" applyFill="1" applyBorder="1" applyAlignment="1">
      <alignment horizontal="left"/>
    </xf>
    <xf numFmtId="1" fontId="30" fillId="0" borderId="222" xfId="0" applyNumberFormat="1" applyFont="1" applyFill="1" applyBorder="1" applyAlignment="1">
      <alignment horizontal="left"/>
    </xf>
    <xf numFmtId="1" fontId="31" fillId="0" borderId="223" xfId="0" applyNumberFormat="1" applyFont="1" applyFill="1" applyBorder="1"/>
    <xf numFmtId="1" fontId="30" fillId="0" borderId="122" xfId="0" applyNumberFormat="1" applyFont="1" applyFill="1" applyBorder="1" applyAlignment="1">
      <alignment horizontal="left"/>
    </xf>
    <xf numFmtId="164" fontId="31" fillId="0" borderId="35" xfId="0" applyNumberFormat="1" applyFont="1" applyFill="1" applyBorder="1" applyAlignment="1">
      <alignment horizontal="left" vertical="center" wrapText="1"/>
    </xf>
    <xf numFmtId="164" fontId="33" fillId="0" borderId="214" xfId="0" applyNumberFormat="1" applyFont="1" applyFill="1" applyBorder="1"/>
    <xf numFmtId="1" fontId="30" fillId="0" borderId="153" xfId="0" applyNumberFormat="1" applyFont="1" applyFill="1" applyBorder="1" applyAlignment="1">
      <alignment horizontal="left"/>
    </xf>
    <xf numFmtId="1" fontId="30" fillId="0" borderId="223" xfId="0" applyNumberFormat="1" applyFont="1" applyFill="1" applyBorder="1" applyAlignment="1">
      <alignment horizontal="left"/>
    </xf>
    <xf numFmtId="1" fontId="30" fillId="0" borderId="128" xfId="0" applyNumberFormat="1" applyFont="1" applyFill="1" applyBorder="1" applyAlignment="1">
      <alignment horizontal="left"/>
    </xf>
    <xf numFmtId="164" fontId="30" fillId="0" borderId="115" xfId="0" applyNumberFormat="1" applyFont="1" applyFill="1" applyBorder="1"/>
    <xf numFmtId="1" fontId="30" fillId="0" borderId="237" xfId="0" applyNumberFormat="1" applyFont="1" applyFill="1" applyBorder="1" applyAlignment="1">
      <alignment horizontal="left"/>
    </xf>
    <xf numFmtId="164" fontId="31" fillId="0" borderId="8" xfId="0" applyNumberFormat="1" applyFont="1" applyFill="1" applyBorder="1"/>
    <xf numFmtId="49" fontId="30" fillId="0" borderId="189" xfId="0" applyNumberFormat="1" applyFont="1" applyFill="1" applyBorder="1"/>
    <xf numFmtId="164" fontId="30" fillId="0" borderId="138" xfId="0" applyNumberFormat="1" applyFont="1" applyFill="1" applyBorder="1"/>
    <xf numFmtId="164" fontId="30" fillId="0" borderId="140" xfId="0" applyNumberFormat="1" applyFont="1" applyFill="1" applyBorder="1"/>
    <xf numFmtId="0" fontId="32" fillId="0" borderId="79" xfId="0" applyFont="1" applyBorder="1" applyAlignment="1">
      <alignment horizontal="center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/>
    </xf>
    <xf numFmtId="2" fontId="32" fillId="0" borderId="78" xfId="0" applyNumberFormat="1" applyFont="1" applyBorder="1" applyAlignment="1">
      <alignment horizontal="center"/>
    </xf>
    <xf numFmtId="2" fontId="32" fillId="0" borderId="88" xfId="0" applyNumberFormat="1" applyFont="1" applyFill="1" applyBorder="1" applyAlignment="1">
      <alignment horizontal="center"/>
    </xf>
    <xf numFmtId="164" fontId="30" fillId="0" borderId="137" xfId="0" applyNumberFormat="1" applyFont="1" applyFill="1" applyBorder="1"/>
    <xf numFmtId="164" fontId="30" fillId="0" borderId="139" xfId="0" applyNumberFormat="1" applyFont="1" applyFill="1" applyBorder="1"/>
    <xf numFmtId="164" fontId="31" fillId="0" borderId="169" xfId="0" applyNumberFormat="1" applyFont="1" applyFill="1" applyBorder="1" applyAlignment="1">
      <alignment horizontal="center" vertical="center" wrapText="1"/>
    </xf>
    <xf numFmtId="164" fontId="31" fillId="0" borderId="170" xfId="0" applyNumberFormat="1" applyFont="1" applyFill="1" applyBorder="1" applyAlignment="1">
      <alignment horizontal="center" vertical="center" wrapText="1"/>
    </xf>
    <xf numFmtId="164" fontId="31" fillId="0" borderId="252" xfId="0" applyNumberFormat="1" applyFont="1" applyFill="1" applyBorder="1" applyAlignment="1">
      <alignment horizontal="center" vertical="center" wrapText="1"/>
    </xf>
    <xf numFmtId="164" fontId="31" fillId="0" borderId="164" xfId="0" applyNumberFormat="1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64" fontId="7" fillId="0" borderId="5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/>
    </xf>
    <xf numFmtId="164" fontId="30" fillId="0" borderId="50" xfId="0" applyNumberFormat="1" applyFont="1" applyFill="1" applyBorder="1" applyAlignment="1">
      <alignment horizontal="center"/>
    </xf>
    <xf numFmtId="1" fontId="30" fillId="0" borderId="26" xfId="0" applyNumberFormat="1" applyFont="1" applyFill="1" applyBorder="1" applyAlignment="1">
      <alignment horizontal="center" vertical="center" wrapText="1"/>
    </xf>
    <xf numFmtId="1" fontId="30" fillId="0" borderId="4" xfId="0" applyNumberFormat="1" applyFont="1" applyFill="1" applyBorder="1" applyAlignment="1">
      <alignment horizontal="center" vertical="center" wrapText="1"/>
    </xf>
    <xf numFmtId="1" fontId="30" fillId="0" borderId="27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15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15" xfId="0" applyFont="1" applyFill="1" applyBorder="1" applyAlignment="1">
      <alignment horizontal="center" vertical="center" wrapText="1"/>
    </xf>
    <xf numFmtId="1" fontId="30" fillId="0" borderId="3" xfId="0" applyNumberFormat="1" applyFont="1" applyFill="1" applyBorder="1" applyAlignment="1">
      <alignment horizontal="center" vertical="center" wrapText="1"/>
    </xf>
    <xf numFmtId="1" fontId="30" fillId="2" borderId="3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49" fontId="16" fillId="0" borderId="0" xfId="0" applyNumberFormat="1" applyFont="1" applyAlignment="1"/>
    <xf numFmtId="49" fontId="17" fillId="0" borderId="0" xfId="0" applyNumberFormat="1" applyFont="1" applyAlignment="1"/>
    <xf numFmtId="0" fontId="38" fillId="0" borderId="0" xfId="0" applyFont="1" applyAlignment="1">
      <alignment horizontal="center"/>
    </xf>
    <xf numFmtId="0" fontId="40" fillId="0" borderId="81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 wrapText="1"/>
    </xf>
    <xf numFmtId="49" fontId="41" fillId="0" borderId="68" xfId="0" applyNumberFormat="1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20" xfId="0" applyFont="1" applyFill="1" applyBorder="1" applyAlignment="1">
      <alignment horizontal="left" vertical="center" wrapText="1"/>
    </xf>
    <xf numFmtId="49" fontId="39" fillId="0" borderId="68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/>
    </xf>
    <xf numFmtId="49" fontId="39" fillId="0" borderId="20" xfId="0" applyNumberFormat="1" applyFont="1" applyFill="1" applyBorder="1" applyAlignment="1">
      <alignment horizontal="center" vertical="center"/>
    </xf>
    <xf numFmtId="49" fontId="41" fillId="0" borderId="70" xfId="0" applyNumberFormat="1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49" fontId="39" fillId="0" borderId="67" xfId="0" applyNumberFormat="1" applyFont="1" applyFill="1" applyBorder="1" applyAlignment="1">
      <alignment horizontal="center" vertical="center"/>
    </xf>
    <xf numFmtId="49" fontId="39" fillId="0" borderId="74" xfId="0" applyNumberFormat="1" applyFont="1" applyFill="1" applyBorder="1" applyAlignment="1">
      <alignment horizontal="center" vertical="center"/>
    </xf>
    <xf numFmtId="0" fontId="38" fillId="6" borderId="73" xfId="0" applyFont="1" applyFill="1" applyBorder="1" applyAlignment="1">
      <alignment horizontal="left" vertical="center" wrapText="1"/>
    </xf>
    <xf numFmtId="0" fontId="38" fillId="6" borderId="20" xfId="0" applyFont="1" applyFill="1" applyBorder="1" applyAlignment="1">
      <alignment horizontal="left" vertical="center" wrapText="1"/>
    </xf>
    <xf numFmtId="0" fontId="38" fillId="6" borderId="75" xfId="0" applyFont="1" applyFill="1" applyBorder="1" applyAlignment="1">
      <alignment horizontal="left" vertical="center" wrapText="1"/>
    </xf>
    <xf numFmtId="49" fontId="39" fillId="0" borderId="70" xfId="0" applyNumberFormat="1" applyFont="1" applyFill="1" applyBorder="1" applyAlignment="1">
      <alignment horizontal="center" vertical="center"/>
    </xf>
    <xf numFmtId="49" fontId="39" fillId="0" borderId="71" xfId="0" applyNumberFormat="1" applyFont="1" applyFill="1" applyBorder="1" applyAlignment="1">
      <alignment horizontal="center" vertical="center"/>
    </xf>
    <xf numFmtId="0" fontId="38" fillId="6" borderId="65" xfId="0" applyFont="1" applyFill="1" applyBorder="1" applyAlignment="1">
      <alignment horizontal="left" vertical="center" wrapText="1"/>
    </xf>
    <xf numFmtId="0" fontId="38" fillId="6" borderId="72" xfId="0" applyFont="1" applyFill="1" applyBorder="1" applyAlignment="1">
      <alignment horizontal="left" vertical="center" wrapText="1"/>
    </xf>
    <xf numFmtId="0" fontId="38" fillId="6" borderId="73" xfId="0" applyFont="1" applyFill="1" applyBorder="1" applyAlignment="1">
      <alignment horizontal="left" vertical="center"/>
    </xf>
    <xf numFmtId="0" fontId="38" fillId="6" borderId="75" xfId="0" applyFont="1" applyFill="1" applyBorder="1" applyAlignment="1">
      <alignment horizontal="left" vertical="center"/>
    </xf>
    <xf numFmtId="0" fontId="38" fillId="6" borderId="65" xfId="0" applyFont="1" applyFill="1" applyBorder="1" applyAlignment="1">
      <alignment horizontal="left" vertical="center"/>
    </xf>
    <xf numFmtId="0" fontId="38" fillId="6" borderId="72" xfId="0" applyFont="1" applyFill="1" applyBorder="1" applyAlignment="1">
      <alignment horizontal="left" vertical="center"/>
    </xf>
    <xf numFmtId="0" fontId="38" fillId="0" borderId="65" xfId="0" applyFont="1" applyFill="1" applyBorder="1" applyAlignment="1">
      <alignment horizontal="left" vertical="center" wrapText="1"/>
    </xf>
    <xf numFmtId="0" fontId="38" fillId="0" borderId="72" xfId="0" applyFont="1" applyFill="1" applyBorder="1" applyAlignment="1">
      <alignment horizontal="left" vertical="center" wrapText="1"/>
    </xf>
    <xf numFmtId="0" fontId="38" fillId="0" borderId="73" xfId="0" applyFont="1" applyFill="1" applyBorder="1" applyAlignment="1">
      <alignment horizontal="left" vertical="center" wrapText="1"/>
    </xf>
    <xf numFmtId="0" fontId="38" fillId="0" borderId="75" xfId="0" applyFont="1" applyFill="1" applyBorder="1" applyAlignment="1">
      <alignment horizontal="left" vertical="center" wrapText="1"/>
    </xf>
    <xf numFmtId="0" fontId="38" fillId="0" borderId="65" xfId="0" applyFont="1" applyFill="1" applyBorder="1" applyAlignment="1">
      <alignment horizontal="left" vertical="center"/>
    </xf>
    <xf numFmtId="0" fontId="38" fillId="0" borderId="72" xfId="0" applyFont="1" applyFill="1" applyBorder="1" applyAlignment="1">
      <alignment horizontal="left" vertical="center"/>
    </xf>
    <xf numFmtId="0" fontId="38" fillId="0" borderId="73" xfId="0" applyFont="1" applyFill="1" applyBorder="1" applyAlignment="1">
      <alignment horizontal="left" vertical="center"/>
    </xf>
    <xf numFmtId="0" fontId="38" fillId="0" borderId="75" xfId="0" applyFont="1" applyFill="1" applyBorder="1" applyAlignment="1">
      <alignment horizontal="left" vertical="center"/>
    </xf>
    <xf numFmtId="49" fontId="39" fillId="0" borderId="70" xfId="0" applyNumberFormat="1" applyFont="1" applyBorder="1" applyAlignment="1">
      <alignment horizontal="center" vertical="center"/>
    </xf>
    <xf numFmtId="49" fontId="39" fillId="0" borderId="71" xfId="0" applyNumberFormat="1" applyFont="1" applyBorder="1" applyAlignment="1">
      <alignment horizontal="center" vertical="center"/>
    </xf>
    <xf numFmtId="0" fontId="40" fillId="0" borderId="72" xfId="0" applyFont="1" applyFill="1" applyBorder="1" applyAlignment="1">
      <alignment horizontal="left" vertical="center" wrapText="1"/>
    </xf>
    <xf numFmtId="49" fontId="39" fillId="0" borderId="75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left" vertical="center" wrapText="1"/>
    </xf>
    <xf numFmtId="49" fontId="39" fillId="7" borderId="70" xfId="0" applyNumberFormat="1" applyFont="1" applyFill="1" applyBorder="1" applyAlignment="1">
      <alignment horizontal="center" vertical="center"/>
    </xf>
    <xf numFmtId="49" fontId="39" fillId="7" borderId="68" xfId="0" applyNumberFormat="1" applyFont="1" applyFill="1" applyBorder="1" applyAlignment="1">
      <alignment horizontal="center" vertical="center"/>
    </xf>
    <xf numFmtId="0" fontId="38" fillId="7" borderId="65" xfId="0" applyFont="1" applyFill="1" applyBorder="1" applyAlignment="1">
      <alignment horizontal="left" vertical="center"/>
    </xf>
    <xf numFmtId="0" fontId="38" fillId="7" borderId="20" xfId="0" applyFont="1" applyFill="1" applyBorder="1" applyAlignment="1">
      <alignment horizontal="left" vertic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8" fillId="0" borderId="65" xfId="0" applyFont="1" applyBorder="1" applyAlignment="1">
      <alignment horizontal="left" vertical="center"/>
    </xf>
    <xf numFmtId="0" fontId="38" fillId="0" borderId="72" xfId="0" applyFont="1" applyBorder="1" applyAlignment="1">
      <alignment horizontal="left" vertical="center"/>
    </xf>
    <xf numFmtId="0" fontId="39" fillId="0" borderId="67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2" fontId="31" fillId="0" borderId="73" xfId="0" applyNumberFormat="1" applyFont="1" applyBorder="1" applyAlignment="1">
      <alignment horizontal="left" vertical="center" wrapText="1"/>
    </xf>
    <xf numFmtId="2" fontId="31" fillId="0" borderId="75" xfId="0" applyNumberFormat="1" applyFont="1" applyBorder="1" applyAlignment="1">
      <alignment horizontal="left" vertical="center" wrapText="1"/>
    </xf>
    <xf numFmtId="0" fontId="31" fillId="0" borderId="65" xfId="0" applyFont="1" applyBorder="1" applyAlignment="1">
      <alignment horizontal="left" vertical="center"/>
    </xf>
    <xf numFmtId="0" fontId="31" fillId="0" borderId="72" xfId="0" applyFont="1" applyBorder="1" applyAlignment="1">
      <alignment horizontal="left" vertical="center"/>
    </xf>
    <xf numFmtId="0" fontId="39" fillId="0" borderId="72" xfId="0" applyFont="1" applyFill="1" applyBorder="1" applyAlignment="1">
      <alignment horizontal="left" vertical="center"/>
    </xf>
    <xf numFmtId="49" fontId="39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5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2" fillId="0" borderId="6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2" fontId="11" fillId="0" borderId="73" xfId="0" applyNumberFormat="1" applyFont="1" applyBorder="1" applyAlignment="1">
      <alignment horizontal="left" vertical="center" wrapText="1"/>
    </xf>
    <xf numFmtId="2" fontId="11" fillId="0" borderId="75" xfId="0" applyNumberFormat="1" applyFont="1" applyBorder="1" applyAlignment="1">
      <alignment horizontal="left" vertical="center" wrapText="1"/>
    </xf>
    <xf numFmtId="49" fontId="22" fillId="0" borderId="70" xfId="0" applyNumberFormat="1" applyFont="1" applyBorder="1" applyAlignment="1">
      <alignment horizontal="center" vertical="center"/>
    </xf>
    <xf numFmtId="49" fontId="22" fillId="0" borderId="71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49" fontId="22" fillId="0" borderId="68" xfId="0" applyNumberFormat="1" applyFont="1" applyFill="1" applyBorder="1" applyAlignment="1">
      <alignment horizontal="center" vertical="center"/>
    </xf>
    <xf numFmtId="49" fontId="22" fillId="0" borderId="71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72" xfId="0" applyFont="1" applyFill="1" applyBorder="1" applyAlignment="1">
      <alignment horizontal="left" vertical="center"/>
    </xf>
    <xf numFmtId="49" fontId="22" fillId="0" borderId="67" xfId="0" applyNumberFormat="1" applyFont="1" applyFill="1" applyBorder="1" applyAlignment="1">
      <alignment horizontal="center" vertical="center"/>
    </xf>
    <xf numFmtId="49" fontId="22" fillId="0" borderId="74" xfId="0" applyNumberFormat="1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left" vertical="center"/>
    </xf>
    <xf numFmtId="49" fontId="22" fillId="0" borderId="70" xfId="0" applyNumberFormat="1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4" fillId="0" borderId="75" xfId="0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75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 wrapText="1"/>
    </xf>
    <xf numFmtId="49" fontId="22" fillId="7" borderId="70" xfId="0" applyNumberFormat="1" applyFont="1" applyFill="1" applyBorder="1" applyAlignment="1">
      <alignment horizontal="center" vertical="center"/>
    </xf>
    <xf numFmtId="49" fontId="22" fillId="7" borderId="68" xfId="0" applyNumberFormat="1" applyFont="1" applyFill="1" applyBorder="1" applyAlignment="1">
      <alignment horizontal="center" vertical="center"/>
    </xf>
    <xf numFmtId="0" fontId="24" fillId="7" borderId="65" xfId="0" applyFont="1" applyFill="1" applyBorder="1" applyAlignment="1">
      <alignment horizontal="left" vertical="center"/>
    </xf>
    <xf numFmtId="0" fontId="24" fillId="7" borderId="20" xfId="0" applyFont="1" applyFill="1" applyBorder="1" applyAlignment="1">
      <alignment horizontal="left" vertical="center"/>
    </xf>
    <xf numFmtId="0" fontId="24" fillId="6" borderId="73" xfId="0" applyFont="1" applyFill="1" applyBorder="1" applyAlignment="1">
      <alignment horizontal="left" vertical="center" wrapText="1"/>
    </xf>
    <xf numFmtId="0" fontId="24" fillId="6" borderId="75" xfId="0" applyFont="1" applyFill="1" applyBorder="1" applyAlignment="1">
      <alignment horizontal="left" vertical="center" wrapText="1"/>
    </xf>
    <xf numFmtId="0" fontId="23" fillId="0" borderId="65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4" fillId="6" borderId="73" xfId="0" applyFont="1" applyFill="1" applyBorder="1" applyAlignment="1">
      <alignment horizontal="left" vertical="center"/>
    </xf>
    <xf numFmtId="0" fontId="24" fillId="6" borderId="75" xfId="0" applyFont="1" applyFill="1" applyBorder="1" applyAlignment="1">
      <alignment horizontal="left" vertical="center"/>
    </xf>
    <xf numFmtId="0" fontId="24" fillId="0" borderId="65" xfId="0" applyFont="1" applyFill="1" applyBorder="1" applyAlignment="1">
      <alignment horizontal="left" vertical="center"/>
    </xf>
    <xf numFmtId="0" fontId="24" fillId="0" borderId="72" xfId="0" applyFont="1" applyFill="1" applyBorder="1" applyAlignment="1">
      <alignment horizontal="left" vertical="center"/>
    </xf>
    <xf numFmtId="0" fontId="24" fillId="6" borderId="20" xfId="0" applyFont="1" applyFill="1" applyBorder="1" applyAlignment="1">
      <alignment horizontal="left" vertical="center" wrapText="1"/>
    </xf>
    <xf numFmtId="0" fontId="24" fillId="6" borderId="65" xfId="0" applyFont="1" applyFill="1" applyBorder="1" applyAlignment="1">
      <alignment horizontal="left" vertical="center" wrapText="1"/>
    </xf>
    <xf numFmtId="0" fontId="24" fillId="6" borderId="72" xfId="0" applyFont="1" applyFill="1" applyBorder="1" applyAlignment="1">
      <alignment horizontal="left" vertical="center" wrapText="1"/>
    </xf>
    <xf numFmtId="49" fontId="25" fillId="0" borderId="68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4" fillId="6" borderId="65" xfId="0" applyFont="1" applyFill="1" applyBorder="1" applyAlignment="1">
      <alignment horizontal="left" vertical="center"/>
    </xf>
    <xf numFmtId="0" fontId="24" fillId="6" borderId="72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 wrapText="1"/>
    </xf>
    <xf numFmtId="49" fontId="25" fillId="0" borderId="7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6" fillId="0" borderId="81" xfId="0" applyFont="1" applyBorder="1" applyAlignment="1">
      <alignment horizontal="center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49" fontId="22" fillId="6" borderId="64" xfId="0" applyNumberFormat="1" applyFont="1" applyFill="1" applyBorder="1" applyAlignment="1">
      <alignment horizontal="center" vertical="center"/>
    </xf>
    <xf numFmtId="49" fontId="22" fillId="6" borderId="66" xfId="0" applyNumberFormat="1" applyFont="1" applyFill="1" applyBorder="1" applyAlignment="1">
      <alignment horizontal="center" vertical="center"/>
    </xf>
    <xf numFmtId="49" fontId="22" fillId="6" borderId="6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left"/>
    </xf>
    <xf numFmtId="49" fontId="30" fillId="0" borderId="20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opLeftCell="A82" workbookViewId="0">
      <selection activeCell="AA10" sqref="AA10"/>
    </sheetView>
  </sheetViews>
  <sheetFormatPr defaultRowHeight="15"/>
  <cols>
    <col min="1" max="1" width="9.28515625" bestFit="1" customWidth="1"/>
    <col min="2" max="2" width="46.85546875" customWidth="1"/>
    <col min="3" max="3" width="10.85546875" customWidth="1"/>
    <col min="4" max="4" width="10.28515625" customWidth="1"/>
    <col min="5" max="7" width="9.140625" hidden="1" customWidth="1"/>
    <col min="8" max="8" width="10.7109375" customWidth="1"/>
    <col min="9" max="9" width="9.42578125" bestFit="1" customWidth="1"/>
    <col min="10" max="12" width="9.28515625" bestFit="1" customWidth="1"/>
    <col min="13" max="13" width="8.85546875" customWidth="1"/>
    <col min="14" max="14" width="0.7109375" hidden="1" customWidth="1"/>
    <col min="15" max="15" width="9" hidden="1" customWidth="1"/>
    <col min="16" max="16" width="9.140625" hidden="1" customWidth="1"/>
    <col min="17" max="17" width="8.85546875" hidden="1" customWidth="1"/>
    <col min="18" max="19" width="9.140625" hidden="1" customWidth="1"/>
    <col min="20" max="20" width="9" hidden="1" customWidth="1"/>
    <col min="21" max="21" width="0.5703125" hidden="1" customWidth="1"/>
    <col min="22" max="22" width="9.140625" hidden="1" customWidth="1"/>
    <col min="23" max="23" width="0.140625" hidden="1" customWidth="1"/>
    <col min="24" max="24" width="9.140625" hidden="1" customWidth="1"/>
  </cols>
  <sheetData>
    <row r="1" spans="1:24">
      <c r="A1" s="631"/>
      <c r="B1" s="631"/>
      <c r="C1" s="631"/>
      <c r="D1" s="975"/>
      <c r="E1" s="975"/>
      <c r="F1" s="976"/>
      <c r="G1" s="976"/>
      <c r="H1" s="976"/>
      <c r="I1" s="1729" t="s">
        <v>184</v>
      </c>
      <c r="J1" s="1729"/>
      <c r="K1" s="1729"/>
      <c r="L1" s="974"/>
      <c r="M1" s="974"/>
      <c r="N1" s="631"/>
      <c r="O1" s="631"/>
      <c r="P1" s="631"/>
      <c r="Q1" s="631"/>
      <c r="R1" s="632"/>
      <c r="S1" s="632"/>
      <c r="T1" s="1730"/>
      <c r="U1" s="1730"/>
      <c r="V1" s="1730"/>
      <c r="W1" s="1730"/>
      <c r="X1" s="1730"/>
    </row>
    <row r="2" spans="1:24">
      <c r="A2" s="631"/>
      <c r="B2" s="631"/>
      <c r="C2" s="631"/>
      <c r="D2" s="975"/>
      <c r="E2" s="975"/>
      <c r="F2" s="976"/>
      <c r="G2" s="976"/>
      <c r="H2" s="976"/>
      <c r="I2" s="1729" t="s">
        <v>185</v>
      </c>
      <c r="J2" s="1729"/>
      <c r="K2" s="1729"/>
      <c r="L2" s="974"/>
      <c r="M2" s="974"/>
      <c r="N2" s="631"/>
      <c r="O2" s="631"/>
      <c r="P2" s="631"/>
      <c r="Q2" s="631"/>
      <c r="R2" s="632"/>
      <c r="S2" s="632"/>
      <c r="T2" s="1730"/>
      <c r="U2" s="1730"/>
      <c r="V2" s="1730"/>
      <c r="W2" s="1730"/>
      <c r="X2" s="1730"/>
    </row>
    <row r="3" spans="1:24">
      <c r="A3" s="631"/>
      <c r="B3" s="631"/>
      <c r="C3" s="631"/>
      <c r="D3" s="975"/>
      <c r="E3" s="975"/>
      <c r="F3" s="976"/>
      <c r="G3" s="976"/>
      <c r="H3" s="976"/>
      <c r="I3" s="1729" t="s">
        <v>186</v>
      </c>
      <c r="J3" s="1729"/>
      <c r="K3" s="1729"/>
      <c r="L3" s="974"/>
      <c r="M3" s="974"/>
      <c r="N3" s="631"/>
      <c r="O3" s="631"/>
      <c r="P3" s="631"/>
      <c r="Q3" s="631"/>
      <c r="R3" s="632"/>
      <c r="S3" s="632"/>
      <c r="T3" s="1730"/>
      <c r="U3" s="1730"/>
      <c r="V3" s="1730"/>
      <c r="W3" s="1730"/>
      <c r="X3" s="1730"/>
    </row>
    <row r="4" spans="1:24">
      <c r="A4" s="631"/>
      <c r="B4" s="631"/>
      <c r="C4" s="631"/>
      <c r="D4" s="975"/>
      <c r="E4" s="975"/>
      <c r="F4" s="976"/>
      <c r="G4" s="976"/>
      <c r="H4" s="976"/>
      <c r="I4" s="1729" t="s">
        <v>187</v>
      </c>
      <c r="J4" s="1729"/>
      <c r="K4" s="1729"/>
      <c r="L4" s="974"/>
      <c r="M4" s="974"/>
      <c r="N4" s="631"/>
      <c r="O4" s="631"/>
      <c r="P4" s="631"/>
      <c r="Q4" s="631"/>
      <c r="R4" s="632"/>
      <c r="S4" s="632"/>
      <c r="T4" s="1730"/>
      <c r="U4" s="1730"/>
      <c r="V4" s="1730"/>
      <c r="W4" s="1730"/>
      <c r="X4" s="1730"/>
    </row>
    <row r="5" spans="1:24">
      <c r="A5" s="631"/>
      <c r="B5" s="631"/>
      <c r="C5" s="631"/>
      <c r="D5" s="975"/>
      <c r="E5" s="975"/>
      <c r="F5" s="976"/>
      <c r="G5" s="976"/>
      <c r="H5" s="976"/>
      <c r="I5" s="1729" t="s">
        <v>210</v>
      </c>
      <c r="J5" s="1729"/>
      <c r="K5" s="1729"/>
      <c r="L5" s="1729"/>
      <c r="M5" s="1729"/>
      <c r="N5" s="631"/>
      <c r="O5" s="631"/>
      <c r="P5" s="631"/>
      <c r="Q5" s="631"/>
      <c r="R5" s="632"/>
      <c r="S5" s="632"/>
      <c r="T5" s="1730"/>
      <c r="U5" s="1730"/>
      <c r="V5" s="1730"/>
      <c r="W5" s="1730"/>
      <c r="X5" s="1730"/>
    </row>
    <row r="6" spans="1:24" ht="37.5" customHeight="1">
      <c r="A6" s="1731" t="s">
        <v>306</v>
      </c>
      <c r="B6" s="1731"/>
      <c r="C6" s="1731"/>
      <c r="D6" s="1731"/>
      <c r="E6" s="1731"/>
      <c r="F6" s="1731"/>
      <c r="G6" s="1731"/>
      <c r="H6" s="1731"/>
      <c r="I6" s="1731"/>
      <c r="J6" s="1731"/>
      <c r="K6" s="1731"/>
      <c r="L6" s="1731"/>
      <c r="M6" s="1731"/>
      <c r="N6" s="634"/>
      <c r="O6" s="634"/>
      <c r="P6" s="634"/>
      <c r="Q6" s="634"/>
      <c r="R6" s="634"/>
      <c r="S6" s="634"/>
      <c r="T6" s="634"/>
      <c r="U6" s="631"/>
      <c r="V6" s="631"/>
      <c r="W6" s="631"/>
      <c r="X6" s="631"/>
    </row>
    <row r="7" spans="1:24">
      <c r="A7" s="635" t="s">
        <v>190</v>
      </c>
      <c r="B7" s="635"/>
      <c r="C7" s="635"/>
      <c r="D7" s="977"/>
      <c r="E7" s="977"/>
      <c r="F7" s="977"/>
      <c r="G7" s="977"/>
      <c r="H7" s="977"/>
      <c r="I7" s="635"/>
      <c r="J7" s="635"/>
      <c r="K7" s="977"/>
      <c r="L7" s="635"/>
      <c r="M7" s="635"/>
      <c r="N7" s="635"/>
      <c r="O7" s="636"/>
      <c r="P7" s="635"/>
      <c r="Q7" s="635"/>
      <c r="R7" s="635"/>
      <c r="S7" s="635"/>
      <c r="T7" s="635"/>
      <c r="U7" s="631"/>
      <c r="V7" s="631"/>
      <c r="W7" s="631"/>
      <c r="X7" s="631"/>
    </row>
    <row r="8" spans="1:24" ht="15.75" thickBot="1">
      <c r="A8" s="637"/>
      <c r="B8" s="631"/>
      <c r="C8" s="631"/>
      <c r="D8" s="977"/>
      <c r="E8" s="977"/>
      <c r="F8" s="978"/>
      <c r="G8" s="978"/>
      <c r="H8" s="978"/>
      <c r="I8" s="638"/>
      <c r="J8" s="638"/>
      <c r="K8" s="977"/>
      <c r="L8" s="638"/>
      <c r="M8" s="638"/>
      <c r="N8" s="638"/>
      <c r="O8" s="638"/>
      <c r="P8" s="635"/>
      <c r="Q8" s="638"/>
      <c r="R8" s="639"/>
      <c r="S8" s="639"/>
      <c r="T8" s="638"/>
      <c r="U8" s="639"/>
      <c r="V8" s="632"/>
      <c r="W8" s="639"/>
      <c r="X8" s="639"/>
    </row>
    <row r="9" spans="1:24" ht="15.75" thickBot="1">
      <c r="A9" s="1723" t="s">
        <v>1</v>
      </c>
      <c r="B9" s="1724" t="s">
        <v>2</v>
      </c>
      <c r="C9" s="1725" t="s">
        <v>3</v>
      </c>
      <c r="D9" s="1726" t="s">
        <v>192</v>
      </c>
      <c r="E9" s="1728" t="s">
        <v>5</v>
      </c>
      <c r="F9" s="1728"/>
      <c r="G9" s="1728"/>
      <c r="H9" s="1728"/>
      <c r="I9" s="1728"/>
      <c r="J9" s="1728"/>
      <c r="K9" s="1728"/>
      <c r="L9" s="1728"/>
      <c r="M9" s="1728"/>
      <c r="N9" s="1728"/>
      <c r="O9" s="1728"/>
      <c r="P9" s="1728"/>
      <c r="Q9" s="1728"/>
      <c r="R9" s="1721" t="s">
        <v>6</v>
      </c>
      <c r="S9" s="1721"/>
      <c r="T9" s="1721"/>
      <c r="U9" s="1722" t="s">
        <v>7</v>
      </c>
      <c r="V9" s="1722"/>
      <c r="W9" s="1727" t="s">
        <v>8</v>
      </c>
      <c r="X9" s="1727"/>
    </row>
    <row r="10" spans="1:24" ht="45.75" customHeight="1" thickTop="1" thickBot="1">
      <c r="A10" s="1723"/>
      <c r="B10" s="1724"/>
      <c r="C10" s="1725"/>
      <c r="D10" s="1726"/>
      <c r="E10" s="1728" t="s">
        <v>9</v>
      </c>
      <c r="F10" s="1728"/>
      <c r="G10" s="1728"/>
      <c r="H10" s="1728" t="s">
        <v>10</v>
      </c>
      <c r="I10" s="1728"/>
      <c r="J10" s="1728"/>
      <c r="K10" s="1728" t="s">
        <v>11</v>
      </c>
      <c r="L10" s="1728"/>
      <c r="M10" s="1728"/>
      <c r="N10" s="1728" t="s">
        <v>12</v>
      </c>
      <c r="O10" s="1728"/>
      <c r="P10" s="1728"/>
      <c r="Q10" s="1728"/>
      <c r="R10" s="1721"/>
      <c r="S10" s="1721"/>
      <c r="T10" s="1721"/>
      <c r="U10" s="1722"/>
      <c r="V10" s="1722"/>
      <c r="W10" s="1727"/>
      <c r="X10" s="1727"/>
    </row>
    <row r="11" spans="1:24" ht="65.25" thickTop="1" thickBot="1">
      <c r="A11" s="1723"/>
      <c r="B11" s="1724"/>
      <c r="C11" s="1725"/>
      <c r="D11" s="1726"/>
      <c r="E11" s="902" t="s">
        <v>14</v>
      </c>
      <c r="F11" s="33" t="s">
        <v>15</v>
      </c>
      <c r="G11" s="33" t="s">
        <v>16</v>
      </c>
      <c r="H11" s="925" t="s">
        <v>14</v>
      </c>
      <c r="I11" s="35" t="s">
        <v>15</v>
      </c>
      <c r="J11" s="35" t="s">
        <v>16</v>
      </c>
      <c r="K11" s="902" t="s">
        <v>14</v>
      </c>
      <c r="L11" s="35" t="s">
        <v>15</v>
      </c>
      <c r="M11" s="35" t="s">
        <v>16</v>
      </c>
      <c r="N11" s="32" t="s">
        <v>4</v>
      </c>
      <c r="O11" s="33" t="s">
        <v>16</v>
      </c>
      <c r="P11" s="32" t="s">
        <v>4</v>
      </c>
      <c r="Q11" s="36" t="s">
        <v>17</v>
      </c>
      <c r="R11" s="32" t="s">
        <v>4</v>
      </c>
      <c r="S11" s="33" t="s">
        <v>15</v>
      </c>
      <c r="T11" s="33" t="s">
        <v>16</v>
      </c>
      <c r="U11" s="640" t="s">
        <v>4</v>
      </c>
      <c r="V11" s="644" t="s">
        <v>18</v>
      </c>
      <c r="W11" s="640" t="s">
        <v>4</v>
      </c>
      <c r="X11" s="644" t="s">
        <v>18</v>
      </c>
    </row>
    <row r="12" spans="1:24" ht="16.5" thickTop="1" thickBot="1">
      <c r="A12" s="38" t="s">
        <v>19</v>
      </c>
      <c r="B12" s="995" t="s">
        <v>20</v>
      </c>
      <c r="C12" s="40" t="s">
        <v>21</v>
      </c>
      <c r="D12" s="903">
        <f>D15+D21+D33+D35+D38+D40+D42+D44+D48+D50+D52+D54+D64</f>
        <v>2592.1549999999997</v>
      </c>
      <c r="E12" s="903">
        <f>E15+E22+E33+E35+E38+E40+E42+E44+E46+E48+E50+E52+E54+E56+E58+E60+E62+E64+E66+E68+E70</f>
        <v>0</v>
      </c>
      <c r="F12" s="41">
        <f>F15+F22+F33+F35+F38+F40+F42+F44+F46+F48+F50+F52+F54+F56+F58+F60+F62+F64+F66+F68+F70</f>
        <v>0</v>
      </c>
      <c r="G12" s="41">
        <f>G15+G22+G33+G35+G38+G40+G42+G44+G46+G48+G50+G52+G54+G56+G58+G60+G62+G64+G66+G68+G70</f>
        <v>0</v>
      </c>
      <c r="H12" s="903">
        <f>I12+J12</f>
        <v>2383.049</v>
      </c>
      <c r="I12" s="41">
        <f>I15+I21+I33+I35+I38+I40+I42+I44+I50+I52+I54+I48+I64</f>
        <v>2253.9719999999998</v>
      </c>
      <c r="J12" s="41">
        <f>J52+J54</f>
        <v>129.077</v>
      </c>
      <c r="K12" s="903">
        <f>K15+K33+K40+K42</f>
        <v>209.10599999999997</v>
      </c>
      <c r="L12" s="41">
        <f>L15+L33+L38+L40+L42</f>
        <v>208.52199999999996</v>
      </c>
      <c r="M12" s="41">
        <f>M15</f>
        <v>0.58399999999999996</v>
      </c>
      <c r="N12" s="42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650">
        <v>0</v>
      </c>
      <c r="V12" s="650">
        <v>0</v>
      </c>
      <c r="W12" s="650">
        <v>0</v>
      </c>
      <c r="X12" s="650">
        <v>0</v>
      </c>
    </row>
    <row r="13" spans="1:24" ht="26.25" thickBot="1">
      <c r="A13" s="1718">
        <v>1</v>
      </c>
      <c r="B13" s="996" t="s">
        <v>22</v>
      </c>
      <c r="C13" s="997" t="s">
        <v>23</v>
      </c>
      <c r="D13" s="903">
        <f t="shared" ref="D13:D70" si="0">H13+K13</f>
        <v>42</v>
      </c>
      <c r="E13" s="903">
        <f>F13+G13</f>
        <v>0</v>
      </c>
      <c r="F13" s="998"/>
      <c r="G13" s="999"/>
      <c r="H13" s="926">
        <f>I13+J13</f>
        <v>36</v>
      </c>
      <c r="I13" s="430">
        <v>36</v>
      </c>
      <c r="J13" s="430">
        <v>0</v>
      </c>
      <c r="K13" s="1000">
        <f>L13+M13</f>
        <v>6</v>
      </c>
      <c r="L13" s="430">
        <v>5</v>
      </c>
      <c r="M13" s="430">
        <v>1</v>
      </c>
      <c r="N13" s="1001"/>
      <c r="O13" s="998"/>
      <c r="P13" s="998"/>
      <c r="Q13" s="998"/>
      <c r="R13" s="998"/>
      <c r="S13" s="998"/>
      <c r="T13" s="998"/>
      <c r="U13" s="979"/>
      <c r="V13" s="979"/>
      <c r="W13" s="979"/>
      <c r="X13" s="979"/>
    </row>
    <row r="14" spans="1:24" ht="15.75" thickBot="1">
      <c r="A14" s="1718"/>
      <c r="B14" s="1002"/>
      <c r="C14" s="518" t="s">
        <v>24</v>
      </c>
      <c r="D14" s="903">
        <f>D18+D16</f>
        <v>0.22685000000000002</v>
      </c>
      <c r="E14" s="903">
        <f t="shared" ref="E14:E77" si="1">F14+G14</f>
        <v>0</v>
      </c>
      <c r="F14" s="85">
        <f>F16+F18+F20</f>
        <v>0</v>
      </c>
      <c r="G14" s="85">
        <f>G16+G18+G20</f>
        <v>0</v>
      </c>
      <c r="H14" s="926">
        <f t="shared" ref="H14:H19" si="2">I14</f>
        <v>0.16985</v>
      </c>
      <c r="I14" s="434">
        <f>I16+I18</f>
        <v>0.16985</v>
      </c>
      <c r="J14" s="434"/>
      <c r="K14" s="929">
        <f>L14+M14</f>
        <v>5.7000000000000002E-2</v>
      </c>
      <c r="L14" s="421">
        <v>5.5E-2</v>
      </c>
      <c r="M14" s="421">
        <v>2E-3</v>
      </c>
      <c r="N14" s="540">
        <f t="shared" ref="N14:X15" si="3">N16+N18</f>
        <v>0</v>
      </c>
      <c r="O14" s="85">
        <f t="shared" si="3"/>
        <v>0</v>
      </c>
      <c r="P14" s="85">
        <f t="shared" si="3"/>
        <v>0</v>
      </c>
      <c r="Q14" s="85">
        <f t="shared" si="3"/>
        <v>0</v>
      </c>
      <c r="R14" s="85">
        <f t="shared" si="3"/>
        <v>0</v>
      </c>
      <c r="S14" s="85">
        <f t="shared" si="3"/>
        <v>0</v>
      </c>
      <c r="T14" s="85">
        <f t="shared" si="3"/>
        <v>0</v>
      </c>
      <c r="U14" s="660">
        <f t="shared" si="3"/>
        <v>0</v>
      </c>
      <c r="V14" s="660">
        <f t="shared" si="3"/>
        <v>0</v>
      </c>
      <c r="W14" s="660">
        <f t="shared" si="3"/>
        <v>0</v>
      </c>
      <c r="X14" s="660">
        <f t="shared" si="3"/>
        <v>0</v>
      </c>
    </row>
    <row r="15" spans="1:24" ht="15.75" thickBot="1">
      <c r="A15" s="1718"/>
      <c r="B15" s="1003" t="s">
        <v>25</v>
      </c>
      <c r="C15" s="1004" t="s">
        <v>21</v>
      </c>
      <c r="D15" s="903">
        <f>K15+H15</f>
        <v>207.804</v>
      </c>
      <c r="E15" s="903">
        <f t="shared" si="1"/>
        <v>0</v>
      </c>
      <c r="F15" s="1005">
        <f>F17+F19</f>
        <v>0</v>
      </c>
      <c r="G15" s="1006">
        <f>G17+G19</f>
        <v>0</v>
      </c>
      <c r="H15" s="926">
        <f t="shared" si="2"/>
        <v>176.941</v>
      </c>
      <c r="I15" s="434">
        <f>I17+I19</f>
        <v>176.941</v>
      </c>
      <c r="J15" s="434"/>
      <c r="K15" s="929">
        <f>L15+M15</f>
        <v>30.863</v>
      </c>
      <c r="L15" s="421">
        <v>30.279</v>
      </c>
      <c r="M15" s="421">
        <v>0.58399999999999996</v>
      </c>
      <c r="N15" s="1007">
        <f t="shared" si="3"/>
        <v>0</v>
      </c>
      <c r="O15" s="1005">
        <f t="shared" si="3"/>
        <v>0</v>
      </c>
      <c r="P15" s="1005">
        <f t="shared" si="3"/>
        <v>0</v>
      </c>
      <c r="Q15" s="1005">
        <f t="shared" si="3"/>
        <v>0</v>
      </c>
      <c r="R15" s="1005">
        <f t="shared" si="3"/>
        <v>0</v>
      </c>
      <c r="S15" s="1005">
        <f t="shared" si="3"/>
        <v>0</v>
      </c>
      <c r="T15" s="1005">
        <f t="shared" si="3"/>
        <v>0</v>
      </c>
      <c r="U15" s="980">
        <f t="shared" si="3"/>
        <v>0</v>
      </c>
      <c r="V15" s="980">
        <f t="shared" si="3"/>
        <v>0</v>
      </c>
      <c r="W15" s="980">
        <f t="shared" si="3"/>
        <v>0</v>
      </c>
      <c r="X15" s="980">
        <f t="shared" si="3"/>
        <v>0</v>
      </c>
    </row>
    <row r="16" spans="1:24" ht="15.75" thickBot="1">
      <c r="A16" s="544" t="s">
        <v>26</v>
      </c>
      <c r="B16" s="1008" t="s">
        <v>27</v>
      </c>
      <c r="C16" s="1004" t="s">
        <v>24</v>
      </c>
      <c r="D16" s="903">
        <f>K16+H16</f>
        <v>5.3850000000000002E-2</v>
      </c>
      <c r="E16" s="903">
        <f t="shared" si="1"/>
        <v>0</v>
      </c>
      <c r="F16" s="1009"/>
      <c r="G16" s="1010"/>
      <c r="H16" s="1011">
        <f t="shared" si="2"/>
        <v>5.3850000000000002E-2</v>
      </c>
      <c r="I16" s="421">
        <v>5.3850000000000002E-2</v>
      </c>
      <c r="J16" s="421"/>
      <c r="K16" s="932"/>
      <c r="L16" s="421"/>
      <c r="M16" s="421"/>
      <c r="N16" s="1007">
        <f t="shared" ref="N16:N31" si="4">O16</f>
        <v>0</v>
      </c>
      <c r="O16" s="1012"/>
      <c r="P16" s="1006">
        <f t="shared" ref="P16:P70" si="5">Q16</f>
        <v>0</v>
      </c>
      <c r="Q16" s="1013"/>
      <c r="R16" s="1014">
        <f t="shared" ref="R16:R70" si="6">S16+T16</f>
        <v>0</v>
      </c>
      <c r="S16" s="1013"/>
      <c r="T16" s="1013"/>
      <c r="U16" s="982">
        <f t="shared" ref="U16:U70" si="7">V16</f>
        <v>0</v>
      </c>
      <c r="V16" s="981"/>
      <c r="W16" s="982">
        <f t="shared" ref="W16:W38" si="8">X16</f>
        <v>0</v>
      </c>
      <c r="X16" s="981"/>
    </row>
    <row r="17" spans="1:24" ht="15.75" thickBot="1">
      <c r="A17" s="1008"/>
      <c r="B17" s="1008"/>
      <c r="C17" s="1004" t="s">
        <v>21</v>
      </c>
      <c r="D17" s="903">
        <f>K17+H17</f>
        <v>113.181</v>
      </c>
      <c r="E17" s="903">
        <f t="shared" si="1"/>
        <v>0</v>
      </c>
      <c r="F17" s="1009"/>
      <c r="G17" s="1010"/>
      <c r="H17" s="926">
        <f t="shared" si="2"/>
        <v>113.181</v>
      </c>
      <c r="I17" s="421">
        <v>113.181</v>
      </c>
      <c r="J17" s="421"/>
      <c r="K17" s="932"/>
      <c r="L17" s="421"/>
      <c r="M17" s="421"/>
      <c r="N17" s="1014">
        <f t="shared" si="4"/>
        <v>0</v>
      </c>
      <c r="O17" s="1015"/>
      <c r="P17" s="1014">
        <f t="shared" si="5"/>
        <v>0</v>
      </c>
      <c r="Q17" s="1013"/>
      <c r="R17" s="1014">
        <f t="shared" si="6"/>
        <v>0</v>
      </c>
      <c r="S17" s="1013"/>
      <c r="T17" s="1013"/>
      <c r="U17" s="982">
        <f t="shared" si="7"/>
        <v>0</v>
      </c>
      <c r="V17" s="981"/>
      <c r="W17" s="982">
        <f t="shared" si="8"/>
        <v>0</v>
      </c>
      <c r="X17" s="981"/>
    </row>
    <row r="18" spans="1:24" ht="15.75" thickBot="1">
      <c r="A18" s="1008" t="s">
        <v>28</v>
      </c>
      <c r="B18" s="1008" t="s">
        <v>29</v>
      </c>
      <c r="C18" s="1004" t="s">
        <v>24</v>
      </c>
      <c r="D18" s="903">
        <f>K18+H18</f>
        <v>0.17300000000000001</v>
      </c>
      <c r="E18" s="903">
        <f t="shared" si="1"/>
        <v>0</v>
      </c>
      <c r="F18" s="1009"/>
      <c r="G18" s="1010"/>
      <c r="H18" s="926">
        <f t="shared" si="2"/>
        <v>0.11600000000000001</v>
      </c>
      <c r="I18" s="549">
        <v>0.11600000000000001</v>
      </c>
      <c r="J18" s="421"/>
      <c r="K18" s="929">
        <f>L18+M18</f>
        <v>5.7000000000000002E-2</v>
      </c>
      <c r="L18" s="421">
        <v>5.5E-2</v>
      </c>
      <c r="M18" s="421">
        <v>2E-3</v>
      </c>
      <c r="N18" s="1014">
        <f t="shared" si="4"/>
        <v>0</v>
      </c>
      <c r="O18" s="1015"/>
      <c r="P18" s="1014">
        <f t="shared" si="5"/>
        <v>0</v>
      </c>
      <c r="Q18" s="1013"/>
      <c r="R18" s="1014">
        <f t="shared" si="6"/>
        <v>0</v>
      </c>
      <c r="S18" s="1013"/>
      <c r="T18" s="1013"/>
      <c r="U18" s="982">
        <f t="shared" si="7"/>
        <v>0</v>
      </c>
      <c r="V18" s="981"/>
      <c r="W18" s="982">
        <f t="shared" si="8"/>
        <v>0</v>
      </c>
      <c r="X18" s="981"/>
    </row>
    <row r="19" spans="1:24" ht="15.75" thickBot="1">
      <c r="A19" s="1016"/>
      <c r="B19" s="1016"/>
      <c r="C19" s="1017" t="s">
        <v>21</v>
      </c>
      <c r="D19" s="903">
        <f>K19+H19</f>
        <v>94.62299999999999</v>
      </c>
      <c r="E19" s="903">
        <f t="shared" si="1"/>
        <v>0</v>
      </c>
      <c r="F19" s="1018"/>
      <c r="G19" s="1019"/>
      <c r="H19" s="926">
        <f t="shared" si="2"/>
        <v>63.76</v>
      </c>
      <c r="I19" s="421">
        <v>63.76</v>
      </c>
      <c r="J19" s="421"/>
      <c r="K19" s="929">
        <f>L19+M19</f>
        <v>30.863</v>
      </c>
      <c r="L19" s="421">
        <v>30.279</v>
      </c>
      <c r="M19" s="421">
        <v>0.58399999999999996</v>
      </c>
      <c r="N19" s="1020">
        <f t="shared" si="4"/>
        <v>0</v>
      </c>
      <c r="O19" s="1015"/>
      <c r="P19" s="1020">
        <f t="shared" si="5"/>
        <v>0</v>
      </c>
      <c r="Q19" s="1013"/>
      <c r="R19" s="1020">
        <f t="shared" si="6"/>
        <v>0</v>
      </c>
      <c r="S19" s="1013"/>
      <c r="T19" s="1013"/>
      <c r="U19" s="983">
        <f t="shared" si="7"/>
        <v>0</v>
      </c>
      <c r="V19" s="981"/>
      <c r="W19" s="983">
        <f t="shared" si="8"/>
        <v>0</v>
      </c>
      <c r="X19" s="981"/>
    </row>
    <row r="20" spans="1:24" ht="15.75" thickBot="1">
      <c r="A20" s="76" t="s">
        <v>30</v>
      </c>
      <c r="B20" s="76" t="s">
        <v>31</v>
      </c>
      <c r="C20" s="521" t="s">
        <v>21</v>
      </c>
      <c r="D20" s="903">
        <f t="shared" si="0"/>
        <v>0</v>
      </c>
      <c r="E20" s="903">
        <f t="shared" si="1"/>
        <v>0</v>
      </c>
      <c r="F20" s="79">
        <v>0</v>
      </c>
      <c r="G20" s="80">
        <v>0</v>
      </c>
      <c r="H20" s="926"/>
      <c r="I20" s="20"/>
      <c r="J20" s="20"/>
      <c r="K20" s="932"/>
      <c r="L20" s="20"/>
      <c r="M20" s="20"/>
      <c r="N20" s="81">
        <f t="shared" si="4"/>
        <v>0</v>
      </c>
      <c r="O20" s="1021"/>
      <c r="P20" s="81">
        <f t="shared" si="5"/>
        <v>0</v>
      </c>
      <c r="Q20" s="1022"/>
      <c r="R20" s="81">
        <f t="shared" si="6"/>
        <v>0</v>
      </c>
      <c r="S20" s="1022"/>
      <c r="T20" s="1022"/>
      <c r="U20" s="689">
        <f t="shared" si="7"/>
        <v>0</v>
      </c>
      <c r="V20" s="984"/>
      <c r="W20" s="689">
        <f t="shared" si="8"/>
        <v>0</v>
      </c>
      <c r="X20" s="984"/>
    </row>
    <row r="21" spans="1:24" ht="15.75" thickBot="1">
      <c r="A21" s="82">
        <v>2</v>
      </c>
      <c r="B21" s="1023" t="s">
        <v>32</v>
      </c>
      <c r="C21" s="84" t="s">
        <v>307</v>
      </c>
      <c r="D21" s="41">
        <f>H21+K21</f>
        <v>1397.5060000000001</v>
      </c>
      <c r="E21" s="41">
        <f t="shared" si="1"/>
        <v>0</v>
      </c>
      <c r="F21" s="86"/>
      <c r="G21" s="87"/>
      <c r="H21" s="48">
        <f t="shared" ref="H21:H26" si="9">I21</f>
        <v>1397.5060000000001</v>
      </c>
      <c r="I21" s="86">
        <v>1397.5060000000001</v>
      </c>
      <c r="J21" s="86"/>
      <c r="K21" s="41"/>
      <c r="L21" s="86"/>
      <c r="M21" s="86"/>
      <c r="N21" s="88">
        <f t="shared" si="4"/>
        <v>0</v>
      </c>
      <c r="O21" s="1015"/>
      <c r="P21" s="88">
        <f t="shared" si="5"/>
        <v>0</v>
      </c>
      <c r="Q21" s="1013"/>
      <c r="R21" s="88">
        <f t="shared" si="6"/>
        <v>0</v>
      </c>
      <c r="S21" s="1013"/>
      <c r="T21" s="1013"/>
      <c r="U21" s="967">
        <f t="shared" si="7"/>
        <v>0</v>
      </c>
      <c r="V21" s="981"/>
      <c r="W21" s="967">
        <f t="shared" si="8"/>
        <v>0</v>
      </c>
      <c r="X21" s="981"/>
    </row>
    <row r="22" spans="1:24" ht="15.75" thickBot="1">
      <c r="A22" s="91"/>
      <c r="B22" s="1024" t="s">
        <v>34</v>
      </c>
      <c r="C22" s="93" t="s">
        <v>23</v>
      </c>
      <c r="D22" s="41">
        <f t="shared" si="0"/>
        <v>5</v>
      </c>
      <c r="E22" s="41">
        <f t="shared" si="1"/>
        <v>0</v>
      </c>
      <c r="F22" s="1009"/>
      <c r="G22" s="1010"/>
      <c r="H22" s="41">
        <f t="shared" si="9"/>
        <v>5</v>
      </c>
      <c r="I22" s="1009">
        <v>5</v>
      </c>
      <c r="J22" s="1009"/>
      <c r="K22" s="41"/>
      <c r="L22" s="1009"/>
      <c r="M22" s="1009"/>
      <c r="N22" s="1014">
        <f t="shared" si="4"/>
        <v>0</v>
      </c>
      <c r="O22" s="1015"/>
      <c r="P22" s="1014">
        <f t="shared" si="5"/>
        <v>0</v>
      </c>
      <c r="Q22" s="1013"/>
      <c r="R22" s="1014">
        <f t="shared" si="6"/>
        <v>0</v>
      </c>
      <c r="S22" s="1013"/>
      <c r="T22" s="1013"/>
      <c r="U22" s="982">
        <f t="shared" si="7"/>
        <v>0</v>
      </c>
      <c r="V22" s="981"/>
      <c r="W22" s="982">
        <f t="shared" si="8"/>
        <v>0</v>
      </c>
      <c r="X22" s="981"/>
    </row>
    <row r="23" spans="1:24" ht="15.75" thickBot="1">
      <c r="A23" s="510" t="s">
        <v>35</v>
      </c>
      <c r="B23" s="1025" t="s">
        <v>36</v>
      </c>
      <c r="C23" s="84" t="s">
        <v>37</v>
      </c>
      <c r="D23" s="903">
        <f t="shared" si="0"/>
        <v>141.453</v>
      </c>
      <c r="E23" s="903">
        <f t="shared" si="1"/>
        <v>0</v>
      </c>
      <c r="F23" s="990"/>
      <c r="G23" s="1026"/>
      <c r="H23" s="903">
        <f t="shared" si="9"/>
        <v>141.453</v>
      </c>
      <c r="I23" s="990">
        <v>141.453</v>
      </c>
      <c r="J23" s="990"/>
      <c r="K23" s="903"/>
      <c r="L23" s="990"/>
      <c r="M23" s="990"/>
      <c r="N23" s="1027">
        <f t="shared" si="4"/>
        <v>0</v>
      </c>
      <c r="O23" s="1021"/>
      <c r="P23" s="1027">
        <f t="shared" si="5"/>
        <v>0</v>
      </c>
      <c r="Q23" s="1022"/>
      <c r="R23" s="1027">
        <f t="shared" si="6"/>
        <v>0</v>
      </c>
      <c r="S23" s="1022"/>
      <c r="T23" s="1022"/>
      <c r="U23" s="985">
        <f t="shared" si="7"/>
        <v>0</v>
      </c>
      <c r="V23" s="984"/>
      <c r="W23" s="985">
        <f t="shared" si="8"/>
        <v>0</v>
      </c>
      <c r="X23" s="984"/>
    </row>
    <row r="24" spans="1:24" ht="15.75" thickBot="1">
      <c r="A24" s="510"/>
      <c r="B24" s="1025"/>
      <c r="C24" s="84" t="s">
        <v>21</v>
      </c>
      <c r="D24" s="903">
        <f t="shared" si="0"/>
        <v>865.51900000000001</v>
      </c>
      <c r="E24" s="903">
        <f t="shared" si="1"/>
        <v>0</v>
      </c>
      <c r="F24" s="990"/>
      <c r="G24" s="1026"/>
      <c r="H24" s="903">
        <f t="shared" si="9"/>
        <v>865.51900000000001</v>
      </c>
      <c r="I24" s="990">
        <v>865.51900000000001</v>
      </c>
      <c r="J24" s="990"/>
      <c r="K24" s="903"/>
      <c r="L24" s="990"/>
      <c r="M24" s="990"/>
      <c r="N24" s="1027">
        <f t="shared" si="4"/>
        <v>0</v>
      </c>
      <c r="O24" s="1021"/>
      <c r="P24" s="1027">
        <f t="shared" si="5"/>
        <v>0</v>
      </c>
      <c r="Q24" s="1022"/>
      <c r="R24" s="1027">
        <f t="shared" si="6"/>
        <v>0</v>
      </c>
      <c r="S24" s="1022"/>
      <c r="T24" s="1022"/>
      <c r="U24" s="985">
        <f t="shared" si="7"/>
        <v>0</v>
      </c>
      <c r="V24" s="984"/>
      <c r="W24" s="985">
        <f t="shared" si="8"/>
        <v>0</v>
      </c>
      <c r="X24" s="984"/>
    </row>
    <row r="25" spans="1:24" ht="31.5" customHeight="1" thickBot="1">
      <c r="A25" s="511" t="s">
        <v>38</v>
      </c>
      <c r="B25" s="1028" t="s">
        <v>39</v>
      </c>
      <c r="C25" s="522" t="s">
        <v>40</v>
      </c>
      <c r="D25" s="903">
        <f t="shared" si="0"/>
        <v>423.2</v>
      </c>
      <c r="E25" s="903">
        <f t="shared" si="1"/>
        <v>0</v>
      </c>
      <c r="F25" s="990"/>
      <c r="G25" s="1026"/>
      <c r="H25" s="903">
        <v>423.2</v>
      </c>
      <c r="I25" s="990">
        <v>423.2</v>
      </c>
      <c r="J25" s="990"/>
      <c r="K25" s="903"/>
      <c r="L25" s="990"/>
      <c r="M25" s="990"/>
      <c r="N25" s="1027">
        <f t="shared" si="4"/>
        <v>0</v>
      </c>
      <c r="O25" s="1021"/>
      <c r="P25" s="1027">
        <f t="shared" si="5"/>
        <v>0</v>
      </c>
      <c r="Q25" s="1022"/>
      <c r="R25" s="1027">
        <f t="shared" si="6"/>
        <v>0</v>
      </c>
      <c r="S25" s="1022"/>
      <c r="T25" s="1022"/>
      <c r="U25" s="985">
        <f t="shared" si="7"/>
        <v>0</v>
      </c>
      <c r="V25" s="984"/>
      <c r="W25" s="985">
        <f t="shared" si="8"/>
        <v>0</v>
      </c>
      <c r="X25" s="984"/>
    </row>
    <row r="26" spans="1:24" ht="20.25" customHeight="1" thickBot="1">
      <c r="A26" s="508"/>
      <c r="B26" s="1029" t="s">
        <v>41</v>
      </c>
      <c r="C26" s="93" t="s">
        <v>21</v>
      </c>
      <c r="D26" s="903">
        <f t="shared" si="0"/>
        <v>476.90300000000002</v>
      </c>
      <c r="E26" s="903">
        <f t="shared" si="1"/>
        <v>0</v>
      </c>
      <c r="F26" s="990"/>
      <c r="G26" s="1026"/>
      <c r="H26" s="903">
        <f t="shared" si="9"/>
        <v>476.90300000000002</v>
      </c>
      <c r="I26" s="990">
        <v>476.90300000000002</v>
      </c>
      <c r="J26" s="990"/>
      <c r="K26" s="903"/>
      <c r="L26" s="990"/>
      <c r="M26" s="990"/>
      <c r="N26" s="1027">
        <f t="shared" si="4"/>
        <v>0</v>
      </c>
      <c r="O26" s="1021"/>
      <c r="P26" s="1027">
        <f t="shared" si="5"/>
        <v>0</v>
      </c>
      <c r="Q26" s="1022"/>
      <c r="R26" s="1027">
        <f t="shared" si="6"/>
        <v>0</v>
      </c>
      <c r="S26" s="1022"/>
      <c r="T26" s="1022"/>
      <c r="U26" s="985">
        <f t="shared" si="7"/>
        <v>0</v>
      </c>
      <c r="V26" s="984"/>
      <c r="W26" s="985">
        <f t="shared" si="8"/>
        <v>0</v>
      </c>
      <c r="X26" s="984"/>
    </row>
    <row r="27" spans="1:24" ht="15.75" thickBot="1">
      <c r="A27" s="511" t="s">
        <v>42</v>
      </c>
      <c r="B27" s="1030" t="s">
        <v>43</v>
      </c>
      <c r="C27" s="522" t="s">
        <v>40</v>
      </c>
      <c r="D27" s="903">
        <f t="shared" si="0"/>
        <v>0</v>
      </c>
      <c r="E27" s="903">
        <f t="shared" si="1"/>
        <v>0</v>
      </c>
      <c r="F27" s="990"/>
      <c r="G27" s="1026"/>
      <c r="H27" s="903"/>
      <c r="I27" s="990"/>
      <c r="J27" s="990"/>
      <c r="K27" s="903"/>
      <c r="L27" s="990"/>
      <c r="M27" s="990"/>
      <c r="N27" s="1027">
        <f t="shared" si="4"/>
        <v>0</v>
      </c>
      <c r="O27" s="1021"/>
      <c r="P27" s="1027">
        <f t="shared" si="5"/>
        <v>0</v>
      </c>
      <c r="Q27" s="1022"/>
      <c r="R27" s="1027">
        <f t="shared" si="6"/>
        <v>0</v>
      </c>
      <c r="S27" s="1022"/>
      <c r="T27" s="1022"/>
      <c r="U27" s="985">
        <f t="shared" si="7"/>
        <v>0</v>
      </c>
      <c r="V27" s="984"/>
      <c r="W27" s="985">
        <f t="shared" si="8"/>
        <v>0</v>
      </c>
      <c r="X27" s="984"/>
    </row>
    <row r="28" spans="1:24" ht="15.75" thickBot="1">
      <c r="A28" s="508"/>
      <c r="B28" s="1031" t="s">
        <v>44</v>
      </c>
      <c r="C28" s="93" t="s">
        <v>21</v>
      </c>
      <c r="D28" s="903">
        <f t="shared" si="0"/>
        <v>0</v>
      </c>
      <c r="E28" s="903">
        <f t="shared" si="1"/>
        <v>0</v>
      </c>
      <c r="F28" s="990"/>
      <c r="G28" s="1026"/>
      <c r="H28" s="903"/>
      <c r="I28" s="990"/>
      <c r="J28" s="990"/>
      <c r="K28" s="903"/>
      <c r="L28" s="990"/>
      <c r="M28" s="990"/>
      <c r="N28" s="1027">
        <f t="shared" si="4"/>
        <v>0</v>
      </c>
      <c r="O28" s="1021"/>
      <c r="P28" s="1027">
        <f t="shared" si="5"/>
        <v>0</v>
      </c>
      <c r="Q28" s="1022"/>
      <c r="R28" s="1027">
        <f t="shared" si="6"/>
        <v>0</v>
      </c>
      <c r="S28" s="1022"/>
      <c r="T28" s="1022"/>
      <c r="U28" s="985">
        <f t="shared" si="7"/>
        <v>0</v>
      </c>
      <c r="V28" s="984"/>
      <c r="W28" s="985">
        <f t="shared" si="8"/>
        <v>0</v>
      </c>
      <c r="X28" s="984"/>
    </row>
    <row r="29" spans="1:24" ht="15.75" thickBot="1">
      <c r="A29" s="511" t="s">
        <v>45</v>
      </c>
      <c r="B29" s="1030" t="s">
        <v>46</v>
      </c>
      <c r="C29" s="522" t="s">
        <v>47</v>
      </c>
      <c r="D29" s="903">
        <f t="shared" si="0"/>
        <v>0</v>
      </c>
      <c r="E29" s="903">
        <f t="shared" si="1"/>
        <v>0</v>
      </c>
      <c r="F29" s="990"/>
      <c r="G29" s="1026"/>
      <c r="H29" s="903"/>
      <c r="I29" s="990"/>
      <c r="J29" s="990"/>
      <c r="K29" s="903"/>
      <c r="L29" s="990"/>
      <c r="M29" s="990"/>
      <c r="N29" s="1027">
        <f t="shared" si="4"/>
        <v>0</v>
      </c>
      <c r="O29" s="1021"/>
      <c r="P29" s="1027">
        <f t="shared" si="5"/>
        <v>0</v>
      </c>
      <c r="Q29" s="1022"/>
      <c r="R29" s="1027">
        <f t="shared" si="6"/>
        <v>0</v>
      </c>
      <c r="S29" s="1022"/>
      <c r="T29" s="1022"/>
      <c r="U29" s="985">
        <f t="shared" si="7"/>
        <v>0</v>
      </c>
      <c r="V29" s="984"/>
      <c r="W29" s="985">
        <f t="shared" si="8"/>
        <v>0</v>
      </c>
      <c r="X29" s="984"/>
    </row>
    <row r="30" spans="1:24" ht="15.75" thickBot="1">
      <c r="A30" s="508"/>
      <c r="B30" s="1031"/>
      <c r="C30" s="84" t="s">
        <v>21</v>
      </c>
      <c r="D30" s="903">
        <f t="shared" si="0"/>
        <v>0</v>
      </c>
      <c r="E30" s="903">
        <f t="shared" si="1"/>
        <v>0</v>
      </c>
      <c r="F30" s="990"/>
      <c r="G30" s="1026"/>
      <c r="H30" s="903"/>
      <c r="I30" s="990"/>
      <c r="J30" s="990"/>
      <c r="K30" s="903"/>
      <c r="L30" s="990"/>
      <c r="M30" s="990"/>
      <c r="N30" s="1027">
        <f t="shared" si="4"/>
        <v>0</v>
      </c>
      <c r="O30" s="1021"/>
      <c r="P30" s="1027">
        <f t="shared" si="5"/>
        <v>0</v>
      </c>
      <c r="Q30" s="1022"/>
      <c r="R30" s="1027">
        <f t="shared" si="6"/>
        <v>0</v>
      </c>
      <c r="S30" s="1022"/>
      <c r="T30" s="1022"/>
      <c r="U30" s="985">
        <f t="shared" si="7"/>
        <v>0</v>
      </c>
      <c r="V30" s="984"/>
      <c r="W30" s="985">
        <f t="shared" si="8"/>
        <v>0</v>
      </c>
      <c r="X30" s="984"/>
    </row>
    <row r="31" spans="1:24" ht="38.25" customHeight="1" thickBot="1">
      <c r="A31" s="508" t="s">
        <v>48</v>
      </c>
      <c r="B31" s="1032" t="s">
        <v>49</v>
      </c>
      <c r="C31" s="521" t="s">
        <v>21</v>
      </c>
      <c r="D31" s="903">
        <f>H31</f>
        <v>55.084000000000003</v>
      </c>
      <c r="E31" s="903">
        <f t="shared" si="1"/>
        <v>0</v>
      </c>
      <c r="F31" s="990"/>
      <c r="G31" s="1026"/>
      <c r="H31" s="903">
        <f>I31</f>
        <v>55.084000000000003</v>
      </c>
      <c r="I31" s="990">
        <v>55.084000000000003</v>
      </c>
      <c r="J31" s="990"/>
      <c r="K31" s="903"/>
      <c r="L31" s="990"/>
      <c r="M31" s="990"/>
      <c r="N31" s="1027">
        <f t="shared" si="4"/>
        <v>0</v>
      </c>
      <c r="O31" s="1021"/>
      <c r="P31" s="1027">
        <f t="shared" si="5"/>
        <v>0</v>
      </c>
      <c r="Q31" s="1022"/>
      <c r="R31" s="1027">
        <f t="shared" si="6"/>
        <v>0</v>
      </c>
      <c r="S31" s="1022"/>
      <c r="T31" s="1022"/>
      <c r="U31" s="985">
        <f t="shared" si="7"/>
        <v>0</v>
      </c>
      <c r="V31" s="984"/>
      <c r="W31" s="985">
        <f t="shared" si="8"/>
        <v>0</v>
      </c>
      <c r="X31" s="984"/>
    </row>
    <row r="32" spans="1:24" ht="15.75" thickBot="1">
      <c r="A32" s="111">
        <v>3</v>
      </c>
      <c r="B32" s="1033" t="s">
        <v>50</v>
      </c>
      <c r="C32" s="518" t="s">
        <v>51</v>
      </c>
      <c r="D32" s="903">
        <f>I32+L32</f>
        <v>0.55700000000000005</v>
      </c>
      <c r="E32" s="903">
        <f t="shared" si="1"/>
        <v>0</v>
      </c>
      <c r="F32" s="990"/>
      <c r="G32" s="1026"/>
      <c r="H32" s="903">
        <f>I32</f>
        <v>0.34800000000000003</v>
      </c>
      <c r="I32" s="990">
        <f>0.205+0.066+0.077</f>
        <v>0.34800000000000003</v>
      </c>
      <c r="J32" s="990"/>
      <c r="K32" s="903">
        <f>L32</f>
        <v>0.20900000000000002</v>
      </c>
      <c r="L32" s="990">
        <f>0.161+0.048</f>
        <v>0.20900000000000002</v>
      </c>
      <c r="M32" s="990"/>
      <c r="N32" s="1027">
        <v>0</v>
      </c>
      <c r="O32" s="1021"/>
      <c r="P32" s="1027">
        <f t="shared" si="5"/>
        <v>0</v>
      </c>
      <c r="Q32" s="1022"/>
      <c r="R32" s="1027">
        <f t="shared" si="6"/>
        <v>0</v>
      </c>
      <c r="S32" s="1022"/>
      <c r="T32" s="1022"/>
      <c r="U32" s="985">
        <f t="shared" si="7"/>
        <v>0</v>
      </c>
      <c r="V32" s="984"/>
      <c r="W32" s="985">
        <f t="shared" si="8"/>
        <v>0</v>
      </c>
      <c r="X32" s="984"/>
    </row>
    <row r="33" spans="1:24" ht="15.75" thickBot="1">
      <c r="A33" s="1034"/>
      <c r="B33" s="1035" t="s">
        <v>52</v>
      </c>
      <c r="C33" s="1017" t="s">
        <v>21</v>
      </c>
      <c r="D33" s="903">
        <f>H33+K33</f>
        <v>419.86799999999999</v>
      </c>
      <c r="E33" s="903">
        <f t="shared" si="1"/>
        <v>0</v>
      </c>
      <c r="F33" s="990"/>
      <c r="G33" s="1026"/>
      <c r="H33" s="903">
        <f>I33</f>
        <v>257.03800000000001</v>
      </c>
      <c r="I33" s="990">
        <f>49.73+50.465+156.843</f>
        <v>257.03800000000001</v>
      </c>
      <c r="J33" s="990"/>
      <c r="K33" s="903">
        <f>L33</f>
        <v>162.82999999999998</v>
      </c>
      <c r="L33" s="990">
        <f>126.128+36.702</f>
        <v>162.82999999999998</v>
      </c>
      <c r="M33" s="990"/>
      <c r="N33" s="1027">
        <v>0</v>
      </c>
      <c r="O33" s="1021"/>
      <c r="P33" s="1027">
        <f t="shared" si="5"/>
        <v>0</v>
      </c>
      <c r="Q33" s="1022"/>
      <c r="R33" s="1027">
        <f t="shared" si="6"/>
        <v>0</v>
      </c>
      <c r="S33" s="1022"/>
      <c r="T33" s="1022"/>
      <c r="U33" s="985">
        <f t="shared" si="7"/>
        <v>0</v>
      </c>
      <c r="V33" s="984"/>
      <c r="W33" s="985">
        <f t="shared" si="8"/>
        <v>0</v>
      </c>
      <c r="X33" s="984"/>
    </row>
    <row r="34" spans="1:24" ht="15.75" thickBot="1">
      <c r="A34" s="113">
        <v>4</v>
      </c>
      <c r="B34" s="1036" t="s">
        <v>53</v>
      </c>
      <c r="C34" s="523" t="s">
        <v>24</v>
      </c>
      <c r="D34" s="903">
        <f t="shared" si="0"/>
        <v>0.24199999999999999</v>
      </c>
      <c r="E34" s="903">
        <f t="shared" si="1"/>
        <v>0</v>
      </c>
      <c r="F34" s="990"/>
      <c r="G34" s="1026"/>
      <c r="H34" s="903">
        <f>I34</f>
        <v>0.24199999999999999</v>
      </c>
      <c r="I34" s="990">
        <v>0.24199999999999999</v>
      </c>
      <c r="J34" s="990"/>
      <c r="K34" s="903"/>
      <c r="L34" s="990"/>
      <c r="M34" s="990"/>
      <c r="N34" s="1037">
        <f t="shared" ref="N34:N70" si="10">O34</f>
        <v>0</v>
      </c>
      <c r="O34" s="116"/>
      <c r="P34" s="1038">
        <f t="shared" si="5"/>
        <v>0</v>
      </c>
      <c r="Q34" s="53"/>
      <c r="R34" s="1038">
        <f t="shared" si="6"/>
        <v>0</v>
      </c>
      <c r="S34" s="53"/>
      <c r="T34" s="53"/>
      <c r="U34" s="986">
        <f t="shared" si="7"/>
        <v>0</v>
      </c>
      <c r="V34" s="694"/>
      <c r="W34" s="986">
        <f t="shared" si="8"/>
        <v>0</v>
      </c>
      <c r="X34" s="694"/>
    </row>
    <row r="35" spans="1:24" ht="15.75" thickBot="1">
      <c r="A35" s="1039"/>
      <c r="B35" s="1040"/>
      <c r="C35" s="1041" t="s">
        <v>21</v>
      </c>
      <c r="D35" s="903">
        <f t="shared" si="0"/>
        <v>85.647999999999996</v>
      </c>
      <c r="E35" s="903">
        <f t="shared" si="1"/>
        <v>0</v>
      </c>
      <c r="F35" s="990"/>
      <c r="G35" s="1026"/>
      <c r="H35" s="903">
        <f>I35</f>
        <v>85.647999999999996</v>
      </c>
      <c r="I35" s="990">
        <v>85.647999999999996</v>
      </c>
      <c r="J35" s="990"/>
      <c r="K35" s="903"/>
      <c r="L35" s="990"/>
      <c r="M35" s="990"/>
      <c r="N35" s="1037">
        <f t="shared" si="10"/>
        <v>0</v>
      </c>
      <c r="O35" s="1042"/>
      <c r="P35" s="1038">
        <f t="shared" si="5"/>
        <v>0</v>
      </c>
      <c r="Q35" s="1043"/>
      <c r="R35" s="1038">
        <f t="shared" si="6"/>
        <v>0</v>
      </c>
      <c r="S35" s="1043"/>
      <c r="T35" s="1043"/>
      <c r="U35" s="986">
        <f t="shared" si="7"/>
        <v>0</v>
      </c>
      <c r="V35" s="987"/>
      <c r="W35" s="986">
        <f t="shared" si="8"/>
        <v>0</v>
      </c>
      <c r="X35" s="987"/>
    </row>
    <row r="36" spans="1:24" ht="15.75" thickBot="1">
      <c r="A36" s="113">
        <v>5</v>
      </c>
      <c r="B36" s="1036" t="s">
        <v>54</v>
      </c>
      <c r="C36" s="523" t="s">
        <v>24</v>
      </c>
      <c r="D36" s="903">
        <v>0</v>
      </c>
      <c r="E36" s="903">
        <f t="shared" si="1"/>
        <v>0</v>
      </c>
      <c r="F36" s="990"/>
      <c r="G36" s="1026"/>
      <c r="H36" s="1044">
        <v>0</v>
      </c>
      <c r="I36" s="990">
        <v>0</v>
      </c>
      <c r="J36" s="990"/>
      <c r="K36" s="1044">
        <v>0</v>
      </c>
      <c r="L36" s="990">
        <v>0</v>
      </c>
      <c r="M36" s="990"/>
      <c r="N36" s="1037">
        <f t="shared" si="10"/>
        <v>0</v>
      </c>
      <c r="O36" s="122"/>
      <c r="P36" s="1038">
        <f t="shared" si="5"/>
        <v>0</v>
      </c>
      <c r="Q36" s="123"/>
      <c r="R36" s="1038">
        <f t="shared" si="6"/>
        <v>0</v>
      </c>
      <c r="S36" s="123"/>
      <c r="T36" s="123"/>
      <c r="U36" s="986">
        <f t="shared" si="7"/>
        <v>0</v>
      </c>
      <c r="V36" s="722"/>
      <c r="W36" s="986">
        <f t="shared" si="8"/>
        <v>0</v>
      </c>
      <c r="X36" s="722"/>
    </row>
    <row r="37" spans="1:24" ht="15.75" thickBot="1">
      <c r="A37" s="1045"/>
      <c r="B37" s="1035" t="s">
        <v>55</v>
      </c>
      <c r="C37" s="1004" t="s">
        <v>56</v>
      </c>
      <c r="D37" s="990">
        <v>1</v>
      </c>
      <c r="E37" s="903">
        <f t="shared" si="1"/>
        <v>0</v>
      </c>
      <c r="F37" s="990"/>
      <c r="G37" s="1026"/>
      <c r="H37" s="990">
        <v>1</v>
      </c>
      <c r="I37" s="990">
        <v>1</v>
      </c>
      <c r="J37" s="990"/>
      <c r="K37" s="1044">
        <f>L37</f>
        <v>0</v>
      </c>
      <c r="L37" s="990">
        <v>0</v>
      </c>
      <c r="M37" s="990"/>
      <c r="N37" s="1037">
        <f t="shared" si="10"/>
        <v>0</v>
      </c>
      <c r="O37" s="116"/>
      <c r="P37" s="1038">
        <f t="shared" si="5"/>
        <v>0</v>
      </c>
      <c r="Q37" s="125"/>
      <c r="R37" s="1038">
        <f t="shared" si="6"/>
        <v>0</v>
      </c>
      <c r="S37" s="125"/>
      <c r="T37" s="125"/>
      <c r="U37" s="986">
        <f t="shared" si="7"/>
        <v>0</v>
      </c>
      <c r="V37" s="724"/>
      <c r="W37" s="986">
        <f t="shared" si="8"/>
        <v>0</v>
      </c>
      <c r="X37" s="724"/>
    </row>
    <row r="38" spans="1:24" ht="15.75" thickBot="1">
      <c r="A38" s="126"/>
      <c r="B38" s="1025"/>
      <c r="C38" s="84" t="s">
        <v>21</v>
      </c>
      <c r="D38" s="903">
        <f t="shared" si="0"/>
        <v>71.414000000000001</v>
      </c>
      <c r="E38" s="903">
        <f t="shared" si="1"/>
        <v>0</v>
      </c>
      <c r="F38" s="1046"/>
      <c r="G38" s="1047"/>
      <c r="H38" s="990">
        <v>71.414000000000001</v>
      </c>
      <c r="I38" s="990">
        <v>71.414000000000001</v>
      </c>
      <c r="J38" s="990"/>
      <c r="K38" s="1044">
        <f>L38</f>
        <v>0</v>
      </c>
      <c r="L38" s="990">
        <v>0</v>
      </c>
      <c r="M38" s="990"/>
      <c r="N38" s="1048">
        <f t="shared" si="10"/>
        <v>0</v>
      </c>
      <c r="O38" s="1049"/>
      <c r="P38" s="1050">
        <f t="shared" si="5"/>
        <v>0</v>
      </c>
      <c r="Q38" s="1050"/>
      <c r="R38" s="1050">
        <f t="shared" si="6"/>
        <v>0</v>
      </c>
      <c r="S38" s="1050"/>
      <c r="T38" s="1050"/>
      <c r="U38" s="988">
        <f t="shared" si="7"/>
        <v>0</v>
      </c>
      <c r="V38" s="988"/>
      <c r="W38" s="988">
        <f t="shared" si="8"/>
        <v>0</v>
      </c>
      <c r="X38" s="988"/>
    </row>
    <row r="39" spans="1:24" ht="50.25" customHeight="1" thickBot="1">
      <c r="A39" s="131" t="s">
        <v>57</v>
      </c>
      <c r="B39" s="1051" t="s">
        <v>58</v>
      </c>
      <c r="C39" s="523" t="s">
        <v>24</v>
      </c>
      <c r="D39" s="1052">
        <f>I39+L39</f>
        <v>0.11499999999999999</v>
      </c>
      <c r="E39" s="1052">
        <f t="shared" si="1"/>
        <v>0</v>
      </c>
      <c r="F39" s="133"/>
      <c r="G39" s="134"/>
      <c r="H39" s="1052">
        <f>I39</f>
        <v>8.6999999999999994E-2</v>
      </c>
      <c r="I39" s="990">
        <f>0.065+0.022</f>
        <v>8.6999999999999994E-2</v>
      </c>
      <c r="J39" s="990"/>
      <c r="K39" s="1044">
        <f>0.028</f>
        <v>2.8000000000000001E-2</v>
      </c>
      <c r="L39" s="990">
        <f>0.028</f>
        <v>2.8000000000000001E-2</v>
      </c>
      <c r="M39" s="990"/>
      <c r="N39" s="136">
        <f t="shared" si="10"/>
        <v>0</v>
      </c>
      <c r="O39" s="137"/>
      <c r="P39" s="123">
        <f t="shared" si="5"/>
        <v>0</v>
      </c>
      <c r="Q39" s="138"/>
      <c r="R39" s="123">
        <f t="shared" si="6"/>
        <v>0</v>
      </c>
      <c r="S39" s="138"/>
      <c r="T39" s="138"/>
      <c r="U39" s="722">
        <f t="shared" si="7"/>
        <v>0</v>
      </c>
      <c r="V39" s="737"/>
      <c r="W39" s="722"/>
      <c r="X39" s="737"/>
    </row>
    <row r="40" spans="1:24" ht="15.75" thickBot="1">
      <c r="A40" s="139"/>
      <c r="B40" s="1053"/>
      <c r="C40" s="93" t="s">
        <v>21</v>
      </c>
      <c r="D40" s="903">
        <f>I40+L40</f>
        <v>16.844999999999999</v>
      </c>
      <c r="E40" s="903">
        <f t="shared" si="1"/>
        <v>0</v>
      </c>
      <c r="F40" s="1054"/>
      <c r="G40" s="1055"/>
      <c r="H40" s="903">
        <f>I40</f>
        <v>12.067</v>
      </c>
      <c r="I40" s="990">
        <f>8.992+3.075</f>
        <v>12.067</v>
      </c>
      <c r="J40" s="990"/>
      <c r="K40" s="1044">
        <f>4.778</f>
        <v>4.7779999999999996</v>
      </c>
      <c r="L40" s="990">
        <f>4.778</f>
        <v>4.7779999999999996</v>
      </c>
      <c r="M40" s="990"/>
      <c r="N40" s="1056">
        <f t="shared" si="10"/>
        <v>0</v>
      </c>
      <c r="O40" s="116"/>
      <c r="P40" s="1043">
        <f t="shared" si="5"/>
        <v>0</v>
      </c>
      <c r="Q40" s="125"/>
      <c r="R40" s="1043">
        <f t="shared" si="6"/>
        <v>0</v>
      </c>
      <c r="S40" s="144"/>
      <c r="T40" s="144"/>
      <c r="U40" s="987">
        <f t="shared" si="7"/>
        <v>0</v>
      </c>
      <c r="V40" s="743"/>
      <c r="W40" s="987"/>
      <c r="X40" s="743"/>
    </row>
    <row r="41" spans="1:24" ht="60.75" customHeight="1" thickBot="1">
      <c r="A41" s="145"/>
      <c r="B41" s="1051" t="s">
        <v>59</v>
      </c>
      <c r="C41" s="523" t="s">
        <v>24</v>
      </c>
      <c r="D41" s="903">
        <f t="shared" si="0"/>
        <v>1.4999999999999999E-2</v>
      </c>
      <c r="E41" s="903">
        <f t="shared" si="1"/>
        <v>0</v>
      </c>
      <c r="F41" s="133"/>
      <c r="G41" s="134"/>
      <c r="H41" s="1044">
        <f>0.0006+0.006+0.0015+0.0006+0.0006+0.0009</f>
        <v>1.0199999999999999E-2</v>
      </c>
      <c r="I41" s="990">
        <f>0.0006+0.006+0.0015+0.0006+0.0006+0.0009</f>
        <v>1.0199999999999999E-2</v>
      </c>
      <c r="J41" s="990"/>
      <c r="K41" s="903">
        <f>L41</f>
        <v>4.7999999999999996E-3</v>
      </c>
      <c r="L41" s="990">
        <f>0.0024+0.0024</f>
        <v>4.7999999999999996E-3</v>
      </c>
      <c r="M41" s="990"/>
      <c r="N41" s="146">
        <f t="shared" si="10"/>
        <v>0</v>
      </c>
      <c r="O41" s="1021"/>
      <c r="P41" s="146">
        <f t="shared" si="5"/>
        <v>0</v>
      </c>
      <c r="Q41" s="1022"/>
      <c r="R41" s="136">
        <f t="shared" si="6"/>
        <v>0</v>
      </c>
      <c r="S41" s="138"/>
      <c r="T41" s="138"/>
      <c r="U41" s="722">
        <f t="shared" si="7"/>
        <v>0</v>
      </c>
      <c r="V41" s="737"/>
      <c r="W41" s="722"/>
      <c r="X41" s="737"/>
    </row>
    <row r="42" spans="1:24" ht="15.75" thickBot="1">
      <c r="A42" s="147"/>
      <c r="B42" s="1053"/>
      <c r="C42" s="93" t="s">
        <v>21</v>
      </c>
      <c r="D42" s="903">
        <f t="shared" si="0"/>
        <v>20.801000000000002</v>
      </c>
      <c r="E42" s="903">
        <f t="shared" si="1"/>
        <v>0</v>
      </c>
      <c r="F42" s="1054"/>
      <c r="G42" s="1055"/>
      <c r="H42" s="1044">
        <f>1.079+2.615+2.696+1.079+1.079+1.618</f>
        <v>10.166</v>
      </c>
      <c r="I42" s="990">
        <f>1.079+2.615+2.696+1.079+1.079+1.618</f>
        <v>10.166</v>
      </c>
      <c r="J42" s="990"/>
      <c r="K42" s="903">
        <f>L42</f>
        <v>10.635</v>
      </c>
      <c r="L42" s="990">
        <f>4.254+6.381</f>
        <v>10.635</v>
      </c>
      <c r="M42" s="990"/>
      <c r="N42" s="1057">
        <f t="shared" si="10"/>
        <v>0</v>
      </c>
      <c r="O42" s="1021"/>
      <c r="P42" s="1057">
        <f t="shared" si="5"/>
        <v>0</v>
      </c>
      <c r="Q42" s="1022"/>
      <c r="R42" s="1056">
        <f t="shared" si="6"/>
        <v>0</v>
      </c>
      <c r="S42" s="144"/>
      <c r="T42" s="144"/>
      <c r="U42" s="987">
        <f t="shared" si="7"/>
        <v>0</v>
      </c>
      <c r="V42" s="743"/>
      <c r="W42" s="987"/>
      <c r="X42" s="743"/>
    </row>
    <row r="43" spans="1:24" ht="15.75" thickBot="1">
      <c r="A43" s="113">
        <v>7</v>
      </c>
      <c r="B43" s="1036" t="s">
        <v>60</v>
      </c>
      <c r="C43" s="523" t="s">
        <v>47</v>
      </c>
      <c r="D43" s="903">
        <f>I43+L43</f>
        <v>41</v>
      </c>
      <c r="E43" s="903">
        <f t="shared" si="1"/>
        <v>0</v>
      </c>
      <c r="F43" s="990"/>
      <c r="G43" s="1026"/>
      <c r="H43" s="903">
        <f>I43</f>
        <v>41</v>
      </c>
      <c r="I43" s="990">
        <f>2+2+1+1+1+1+2+1+1+1+28</f>
        <v>41</v>
      </c>
      <c r="J43" s="990"/>
      <c r="K43" s="903"/>
      <c r="L43" s="990"/>
      <c r="M43" s="990"/>
      <c r="N43" s="1037">
        <f t="shared" si="10"/>
        <v>0</v>
      </c>
      <c r="O43" s="116"/>
      <c r="P43" s="1038">
        <f t="shared" si="5"/>
        <v>0</v>
      </c>
      <c r="Q43" s="53"/>
      <c r="R43" s="1038">
        <f t="shared" si="6"/>
        <v>0</v>
      </c>
      <c r="S43" s="123"/>
      <c r="T43" s="123"/>
      <c r="U43" s="986">
        <f t="shared" si="7"/>
        <v>0</v>
      </c>
      <c r="V43" s="722"/>
      <c r="W43" s="986">
        <f t="shared" ref="W43:W70" si="11">X43</f>
        <v>0</v>
      </c>
      <c r="X43" s="722"/>
    </row>
    <row r="44" spans="1:24" ht="15.75" thickBot="1">
      <c r="A44" s="1040"/>
      <c r="B44" s="1053" t="s">
        <v>61</v>
      </c>
      <c r="C44" s="1041" t="s">
        <v>21</v>
      </c>
      <c r="D44" s="903">
        <f>I44+L44</f>
        <v>25.245000000000001</v>
      </c>
      <c r="E44" s="903">
        <f t="shared" si="1"/>
        <v>0</v>
      </c>
      <c r="F44" s="990"/>
      <c r="G44" s="1026"/>
      <c r="H44" s="903">
        <f>I44</f>
        <v>25.245000000000001</v>
      </c>
      <c r="I44" s="990">
        <f>1.965+1.05+0.983+0.983+1.05+0.526+0.739+17.949</f>
        <v>25.245000000000001</v>
      </c>
      <c r="J44" s="990"/>
      <c r="K44" s="903"/>
      <c r="L44" s="990"/>
      <c r="M44" s="990"/>
      <c r="N44" s="1037">
        <f t="shared" si="10"/>
        <v>0</v>
      </c>
      <c r="O44" s="1042"/>
      <c r="P44" s="1038">
        <f t="shared" si="5"/>
        <v>0</v>
      </c>
      <c r="Q44" s="1043"/>
      <c r="R44" s="1038">
        <f t="shared" si="6"/>
        <v>0</v>
      </c>
      <c r="S44" s="1043"/>
      <c r="T44" s="1043"/>
      <c r="U44" s="986">
        <f t="shared" si="7"/>
        <v>0</v>
      </c>
      <c r="V44" s="987"/>
      <c r="W44" s="986">
        <f t="shared" si="11"/>
        <v>0</v>
      </c>
      <c r="X44" s="987"/>
    </row>
    <row r="45" spans="1:24" ht="15.75" thickBot="1">
      <c r="A45" s="111">
        <v>8</v>
      </c>
      <c r="B45" s="1033" t="s">
        <v>62</v>
      </c>
      <c r="C45" s="518" t="s">
        <v>47</v>
      </c>
      <c r="D45" s="903">
        <f t="shared" si="0"/>
        <v>0</v>
      </c>
      <c r="E45" s="903">
        <f t="shared" si="1"/>
        <v>0</v>
      </c>
      <c r="F45" s="990"/>
      <c r="G45" s="1026"/>
      <c r="H45" s="903"/>
      <c r="I45" s="990"/>
      <c r="J45" s="990"/>
      <c r="K45" s="903"/>
      <c r="L45" s="990"/>
      <c r="M45" s="990"/>
      <c r="N45" s="1037">
        <f t="shared" si="10"/>
        <v>0</v>
      </c>
      <c r="O45" s="116"/>
      <c r="P45" s="1038">
        <f t="shared" si="5"/>
        <v>0</v>
      </c>
      <c r="Q45" s="123"/>
      <c r="R45" s="1038">
        <f t="shared" si="6"/>
        <v>0</v>
      </c>
      <c r="S45" s="123"/>
      <c r="T45" s="123"/>
      <c r="U45" s="986">
        <f t="shared" si="7"/>
        <v>0</v>
      </c>
      <c r="V45" s="722"/>
      <c r="W45" s="986">
        <f t="shared" si="11"/>
        <v>0</v>
      </c>
      <c r="X45" s="722"/>
    </row>
    <row r="46" spans="1:24" ht="15.75" thickBot="1">
      <c r="A46" s="1058"/>
      <c r="B46" s="1059" t="s">
        <v>63</v>
      </c>
      <c r="C46" s="1017" t="s">
        <v>21</v>
      </c>
      <c r="D46" s="903">
        <f t="shared" si="0"/>
        <v>0</v>
      </c>
      <c r="E46" s="903">
        <f t="shared" si="1"/>
        <v>0</v>
      </c>
      <c r="F46" s="990"/>
      <c r="G46" s="1026"/>
      <c r="H46" s="903"/>
      <c r="I46" s="990"/>
      <c r="J46" s="990"/>
      <c r="K46" s="903"/>
      <c r="L46" s="990"/>
      <c r="M46" s="990"/>
      <c r="N46" s="1037">
        <f t="shared" si="10"/>
        <v>0</v>
      </c>
      <c r="O46" s="1049"/>
      <c r="P46" s="1038">
        <f t="shared" si="5"/>
        <v>0</v>
      </c>
      <c r="Q46" s="1043"/>
      <c r="R46" s="1038">
        <f t="shared" si="6"/>
        <v>0</v>
      </c>
      <c r="S46" s="1043"/>
      <c r="T46" s="1043"/>
      <c r="U46" s="986">
        <f t="shared" si="7"/>
        <v>0</v>
      </c>
      <c r="V46" s="987"/>
      <c r="W46" s="986">
        <f t="shared" si="11"/>
        <v>0</v>
      </c>
      <c r="X46" s="987"/>
    </row>
    <row r="47" spans="1:24" ht="15.75" thickBot="1">
      <c r="A47" s="113">
        <v>9</v>
      </c>
      <c r="B47" s="1036" t="s">
        <v>64</v>
      </c>
      <c r="C47" s="523" t="s">
        <v>51</v>
      </c>
      <c r="D47" s="903">
        <f t="shared" si="0"/>
        <v>4.0000000000000001E-3</v>
      </c>
      <c r="E47" s="903">
        <f t="shared" si="1"/>
        <v>0</v>
      </c>
      <c r="F47" s="990"/>
      <c r="G47" s="1026"/>
      <c r="H47" s="903">
        <f>I47</f>
        <v>4.0000000000000001E-3</v>
      </c>
      <c r="I47" s="990">
        <f>0.004</f>
        <v>4.0000000000000001E-3</v>
      </c>
      <c r="J47" s="990"/>
      <c r="K47" s="903"/>
      <c r="L47" s="990"/>
      <c r="M47" s="990"/>
      <c r="N47" s="1037">
        <f t="shared" si="10"/>
        <v>0</v>
      </c>
      <c r="O47" s="137"/>
      <c r="P47" s="1038">
        <f t="shared" si="5"/>
        <v>0</v>
      </c>
      <c r="Q47" s="123"/>
      <c r="R47" s="1038">
        <f t="shared" si="6"/>
        <v>0</v>
      </c>
      <c r="S47" s="123"/>
      <c r="T47" s="123"/>
      <c r="U47" s="986">
        <f t="shared" si="7"/>
        <v>0</v>
      </c>
      <c r="V47" s="722"/>
      <c r="W47" s="986">
        <f t="shared" si="11"/>
        <v>0</v>
      </c>
      <c r="X47" s="722"/>
    </row>
    <row r="48" spans="1:24" ht="15.75" thickBot="1">
      <c r="A48" s="1058"/>
      <c r="B48" s="1034"/>
      <c r="C48" s="1017" t="s">
        <v>21</v>
      </c>
      <c r="D48" s="903">
        <f t="shared" si="0"/>
        <v>6.4939999999999998</v>
      </c>
      <c r="E48" s="903">
        <f t="shared" si="1"/>
        <v>0</v>
      </c>
      <c r="F48" s="990"/>
      <c r="G48" s="1026"/>
      <c r="H48" s="903">
        <f>I48</f>
        <v>6.4939999999999998</v>
      </c>
      <c r="I48" s="990">
        <f>6.494</f>
        <v>6.4939999999999998</v>
      </c>
      <c r="J48" s="990"/>
      <c r="K48" s="903"/>
      <c r="L48" s="990"/>
      <c r="M48" s="990"/>
      <c r="N48" s="1037">
        <f t="shared" si="10"/>
        <v>0</v>
      </c>
      <c r="O48" s="1049"/>
      <c r="P48" s="1038">
        <f t="shared" si="5"/>
        <v>0</v>
      </c>
      <c r="Q48" s="1043"/>
      <c r="R48" s="1038">
        <f t="shared" si="6"/>
        <v>0</v>
      </c>
      <c r="S48" s="1043"/>
      <c r="T48" s="1043"/>
      <c r="U48" s="986">
        <f t="shared" si="7"/>
        <v>0</v>
      </c>
      <c r="V48" s="987"/>
      <c r="W48" s="986">
        <f t="shared" si="11"/>
        <v>0</v>
      </c>
      <c r="X48" s="987"/>
    </row>
    <row r="49" spans="1:24" ht="15.75" thickBot="1">
      <c r="A49" s="113">
        <v>10</v>
      </c>
      <c r="B49" s="1036" t="s">
        <v>65</v>
      </c>
      <c r="C49" s="523" t="s">
        <v>47</v>
      </c>
      <c r="D49" s="903">
        <f t="shared" si="0"/>
        <v>46</v>
      </c>
      <c r="E49" s="903">
        <f t="shared" si="1"/>
        <v>0</v>
      </c>
      <c r="F49" s="990"/>
      <c r="G49" s="1026"/>
      <c r="H49" s="903">
        <f t="shared" ref="H49:H50" si="12">I49</f>
        <v>46</v>
      </c>
      <c r="I49" s="990">
        <f>1+1+11+33</f>
        <v>46</v>
      </c>
      <c r="J49" s="990"/>
      <c r="K49" s="903"/>
      <c r="L49" s="990"/>
      <c r="M49" s="990"/>
      <c r="N49" s="1037">
        <f t="shared" si="10"/>
        <v>0</v>
      </c>
      <c r="O49" s="137"/>
      <c r="P49" s="1038">
        <f t="shared" si="5"/>
        <v>0</v>
      </c>
      <c r="Q49" s="123"/>
      <c r="R49" s="1038">
        <f t="shared" si="6"/>
        <v>0</v>
      </c>
      <c r="S49" s="123"/>
      <c r="T49" s="123"/>
      <c r="U49" s="986">
        <f t="shared" si="7"/>
        <v>0</v>
      </c>
      <c r="V49" s="722"/>
      <c r="W49" s="986">
        <f t="shared" si="11"/>
        <v>0</v>
      </c>
      <c r="X49" s="722"/>
    </row>
    <row r="50" spans="1:24" ht="15.75" thickBot="1">
      <c r="A50" s="1060"/>
      <c r="B50" s="1053" t="s">
        <v>66</v>
      </c>
      <c r="C50" s="1041" t="s">
        <v>21</v>
      </c>
      <c r="D50" s="903">
        <f t="shared" si="0"/>
        <v>118.90900000000001</v>
      </c>
      <c r="E50" s="903">
        <f t="shared" si="1"/>
        <v>0</v>
      </c>
      <c r="F50" s="990"/>
      <c r="G50" s="1026"/>
      <c r="H50" s="903">
        <f t="shared" si="12"/>
        <v>118.90900000000001</v>
      </c>
      <c r="I50" s="990">
        <f>2.747+0.474+74.53+41.158</f>
        <v>118.90900000000001</v>
      </c>
      <c r="J50" s="990"/>
      <c r="K50" s="903"/>
      <c r="L50" s="990"/>
      <c r="M50" s="990"/>
      <c r="N50" s="1037">
        <f t="shared" si="10"/>
        <v>0</v>
      </c>
      <c r="O50" s="1042"/>
      <c r="P50" s="1038">
        <f t="shared" si="5"/>
        <v>0</v>
      </c>
      <c r="Q50" s="1043"/>
      <c r="R50" s="1038">
        <f t="shared" si="6"/>
        <v>0</v>
      </c>
      <c r="S50" s="1043"/>
      <c r="T50" s="1043"/>
      <c r="U50" s="986">
        <f t="shared" si="7"/>
        <v>0</v>
      </c>
      <c r="V50" s="987"/>
      <c r="W50" s="986">
        <f t="shared" si="11"/>
        <v>0</v>
      </c>
      <c r="X50" s="987"/>
    </row>
    <row r="51" spans="1:24" ht="15.75" thickBot="1">
      <c r="A51" s="113">
        <v>11</v>
      </c>
      <c r="B51" s="1036" t="s">
        <v>67</v>
      </c>
      <c r="C51" s="523" t="s">
        <v>47</v>
      </c>
      <c r="D51" s="903">
        <f t="shared" si="0"/>
        <v>11</v>
      </c>
      <c r="E51" s="903">
        <f t="shared" si="1"/>
        <v>0</v>
      </c>
      <c r="F51" s="990"/>
      <c r="G51" s="1026"/>
      <c r="H51" s="903">
        <f>I51+J51</f>
        <v>11</v>
      </c>
      <c r="I51" s="990">
        <f>2+8</f>
        <v>10</v>
      </c>
      <c r="J51" s="990">
        <v>1</v>
      </c>
      <c r="K51" s="903"/>
      <c r="L51" s="990"/>
      <c r="M51" s="990"/>
      <c r="N51" s="1037">
        <f t="shared" si="10"/>
        <v>0</v>
      </c>
      <c r="O51" s="137"/>
      <c r="P51" s="1038">
        <f t="shared" si="5"/>
        <v>0</v>
      </c>
      <c r="Q51" s="123"/>
      <c r="R51" s="1038">
        <f t="shared" si="6"/>
        <v>0</v>
      </c>
      <c r="S51" s="123"/>
      <c r="T51" s="123"/>
      <c r="U51" s="986">
        <f t="shared" si="7"/>
        <v>0</v>
      </c>
      <c r="V51" s="722"/>
      <c r="W51" s="986">
        <f t="shared" si="11"/>
        <v>0</v>
      </c>
      <c r="X51" s="722"/>
    </row>
    <row r="52" spans="1:24" ht="15.75" thickBot="1">
      <c r="A52" s="1060"/>
      <c r="B52" s="1040"/>
      <c r="C52" s="1041" t="s">
        <v>21</v>
      </c>
      <c r="D52" s="903">
        <f t="shared" si="0"/>
        <v>96.806000000000012</v>
      </c>
      <c r="E52" s="903">
        <f t="shared" si="1"/>
        <v>0</v>
      </c>
      <c r="F52" s="990"/>
      <c r="G52" s="1026"/>
      <c r="H52" s="903">
        <f>I52+J52</f>
        <v>96.806000000000012</v>
      </c>
      <c r="I52" s="990">
        <f>9.297+58.329</f>
        <v>67.626000000000005</v>
      </c>
      <c r="J52" s="990">
        <v>29.18</v>
      </c>
      <c r="K52" s="903"/>
      <c r="L52" s="990"/>
      <c r="M52" s="990"/>
      <c r="N52" s="1037">
        <f t="shared" si="10"/>
        <v>0</v>
      </c>
      <c r="O52" s="1042"/>
      <c r="P52" s="1038">
        <f t="shared" si="5"/>
        <v>0</v>
      </c>
      <c r="Q52" s="1043"/>
      <c r="R52" s="1038">
        <f t="shared" si="6"/>
        <v>0</v>
      </c>
      <c r="S52" s="1043"/>
      <c r="T52" s="1043"/>
      <c r="U52" s="986">
        <f t="shared" si="7"/>
        <v>0</v>
      </c>
      <c r="V52" s="987"/>
      <c r="W52" s="986">
        <f t="shared" si="11"/>
        <v>0</v>
      </c>
      <c r="X52" s="987"/>
    </row>
    <row r="53" spans="1:24" ht="15.75" thickBot="1">
      <c r="A53" s="113">
        <v>12</v>
      </c>
      <c r="B53" s="1036" t="s">
        <v>68</v>
      </c>
      <c r="C53" s="523" t="s">
        <v>47</v>
      </c>
      <c r="D53" s="903">
        <f t="shared" si="0"/>
        <v>10</v>
      </c>
      <c r="E53" s="903">
        <f t="shared" si="1"/>
        <v>0</v>
      </c>
      <c r="F53" s="990"/>
      <c r="G53" s="1026"/>
      <c r="H53" s="903">
        <f>I53+J53</f>
        <v>10</v>
      </c>
      <c r="I53" s="990">
        <f>1+1+1+2</f>
        <v>5</v>
      </c>
      <c r="J53" s="990">
        <v>5</v>
      </c>
      <c r="K53" s="903"/>
      <c r="L53" s="990"/>
      <c r="M53" s="990"/>
      <c r="N53" s="1037">
        <f t="shared" si="10"/>
        <v>0</v>
      </c>
      <c r="O53" s="137"/>
      <c r="P53" s="1038">
        <f t="shared" si="5"/>
        <v>0</v>
      </c>
      <c r="Q53" s="123"/>
      <c r="R53" s="1038">
        <f t="shared" si="6"/>
        <v>0</v>
      </c>
      <c r="S53" s="123"/>
      <c r="T53" s="123"/>
      <c r="U53" s="986">
        <f t="shared" si="7"/>
        <v>0</v>
      </c>
      <c r="V53" s="722"/>
      <c r="W53" s="986">
        <f t="shared" si="11"/>
        <v>0</v>
      </c>
      <c r="X53" s="722"/>
    </row>
    <row r="54" spans="1:24" ht="15.75" thickBot="1">
      <c r="A54" s="1060"/>
      <c r="B54" s="1053" t="s">
        <v>69</v>
      </c>
      <c r="C54" s="1041" t="s">
        <v>21</v>
      </c>
      <c r="D54" s="903">
        <f t="shared" si="0"/>
        <v>111.048</v>
      </c>
      <c r="E54" s="903">
        <f t="shared" si="1"/>
        <v>0</v>
      </c>
      <c r="F54" s="990"/>
      <c r="G54" s="1026"/>
      <c r="H54" s="903">
        <f>I54+J54</f>
        <v>111.048</v>
      </c>
      <c r="I54" s="990">
        <f>4.473+2.237+2.237+2.204</f>
        <v>11.151</v>
      </c>
      <c r="J54" s="990">
        <v>99.897000000000006</v>
      </c>
      <c r="K54" s="903"/>
      <c r="L54" s="990"/>
      <c r="M54" s="990"/>
      <c r="N54" s="1037">
        <f t="shared" si="10"/>
        <v>0</v>
      </c>
      <c r="O54" s="1042"/>
      <c r="P54" s="1038">
        <f t="shared" si="5"/>
        <v>0</v>
      </c>
      <c r="Q54" s="1043"/>
      <c r="R54" s="1038">
        <f t="shared" si="6"/>
        <v>0</v>
      </c>
      <c r="S54" s="1043"/>
      <c r="T54" s="1043"/>
      <c r="U54" s="986">
        <f t="shared" si="7"/>
        <v>0</v>
      </c>
      <c r="V54" s="987"/>
      <c r="W54" s="986">
        <f t="shared" si="11"/>
        <v>0</v>
      </c>
      <c r="X54" s="987"/>
    </row>
    <row r="55" spans="1:24" ht="15.75" thickBot="1">
      <c r="A55" s="113">
        <v>14</v>
      </c>
      <c r="B55" s="1061" t="s">
        <v>70</v>
      </c>
      <c r="C55" s="523" t="s">
        <v>24</v>
      </c>
      <c r="D55" s="903">
        <f t="shared" si="0"/>
        <v>0</v>
      </c>
      <c r="E55" s="903">
        <f t="shared" si="1"/>
        <v>0</v>
      </c>
      <c r="F55" s="990"/>
      <c r="G55" s="1026"/>
      <c r="H55" s="903"/>
      <c r="I55" s="990"/>
      <c r="J55" s="990"/>
      <c r="K55" s="903"/>
      <c r="L55" s="990"/>
      <c r="M55" s="990"/>
      <c r="N55" s="1037">
        <f t="shared" si="10"/>
        <v>0</v>
      </c>
      <c r="O55" s="122"/>
      <c r="P55" s="1038">
        <f t="shared" si="5"/>
        <v>0</v>
      </c>
      <c r="Q55" s="123"/>
      <c r="R55" s="1038">
        <f t="shared" si="6"/>
        <v>0</v>
      </c>
      <c r="S55" s="123"/>
      <c r="T55" s="123"/>
      <c r="U55" s="986">
        <f t="shared" si="7"/>
        <v>0</v>
      </c>
      <c r="V55" s="722"/>
      <c r="W55" s="986">
        <f t="shared" si="11"/>
        <v>0</v>
      </c>
      <c r="X55" s="722"/>
    </row>
    <row r="56" spans="1:24" ht="35.25" customHeight="1" thickBot="1">
      <c r="A56" s="1058"/>
      <c r="B56" s="1062" t="s">
        <v>71</v>
      </c>
      <c r="C56" s="1017" t="s">
        <v>21</v>
      </c>
      <c r="D56" s="903">
        <f t="shared" si="0"/>
        <v>0</v>
      </c>
      <c r="E56" s="903">
        <f t="shared" si="1"/>
        <v>0</v>
      </c>
      <c r="F56" s="990"/>
      <c r="G56" s="1026"/>
      <c r="H56" s="903"/>
      <c r="I56" s="990"/>
      <c r="J56" s="990"/>
      <c r="K56" s="903"/>
      <c r="L56" s="990"/>
      <c r="M56" s="990"/>
      <c r="N56" s="1037">
        <f t="shared" si="10"/>
        <v>0</v>
      </c>
      <c r="O56" s="1049"/>
      <c r="P56" s="1038">
        <f t="shared" si="5"/>
        <v>0</v>
      </c>
      <c r="Q56" s="1050"/>
      <c r="R56" s="1038">
        <f t="shared" si="6"/>
        <v>0</v>
      </c>
      <c r="S56" s="1050"/>
      <c r="T56" s="1050"/>
      <c r="U56" s="986">
        <f t="shared" si="7"/>
        <v>0</v>
      </c>
      <c r="V56" s="988"/>
      <c r="W56" s="986">
        <f t="shared" si="11"/>
        <v>0</v>
      </c>
      <c r="X56" s="988"/>
    </row>
    <row r="57" spans="1:24" ht="32.25" customHeight="1" thickBot="1">
      <c r="A57" s="153">
        <v>15</v>
      </c>
      <c r="B57" s="1063" t="s">
        <v>72</v>
      </c>
      <c r="C57" s="523" t="s">
        <v>47</v>
      </c>
      <c r="D57" s="903">
        <f t="shared" si="0"/>
        <v>0</v>
      </c>
      <c r="E57" s="903">
        <f t="shared" si="1"/>
        <v>0</v>
      </c>
      <c r="F57" s="990"/>
      <c r="G57" s="1026"/>
      <c r="H57" s="903"/>
      <c r="I57" s="990"/>
      <c r="J57" s="990"/>
      <c r="K57" s="903"/>
      <c r="L57" s="990"/>
      <c r="M57" s="990"/>
      <c r="N57" s="1037">
        <f t="shared" si="10"/>
        <v>0</v>
      </c>
      <c r="O57" s="122"/>
      <c r="P57" s="1038">
        <f t="shared" si="5"/>
        <v>0</v>
      </c>
      <c r="Q57" s="123"/>
      <c r="R57" s="1038">
        <f t="shared" si="6"/>
        <v>0</v>
      </c>
      <c r="S57" s="123"/>
      <c r="T57" s="123"/>
      <c r="U57" s="986">
        <f t="shared" si="7"/>
        <v>0</v>
      </c>
      <c r="V57" s="722"/>
      <c r="W57" s="986">
        <f t="shared" si="11"/>
        <v>0</v>
      </c>
      <c r="X57" s="722"/>
    </row>
    <row r="58" spans="1:24" ht="15.75" thickBot="1">
      <c r="A58" s="1064"/>
      <c r="B58" s="1065" t="s">
        <v>73</v>
      </c>
      <c r="C58" s="1017" t="s">
        <v>21</v>
      </c>
      <c r="D58" s="903">
        <f t="shared" si="0"/>
        <v>0</v>
      </c>
      <c r="E58" s="903">
        <f t="shared" si="1"/>
        <v>0</v>
      </c>
      <c r="F58" s="1046"/>
      <c r="G58" s="1047"/>
      <c r="H58" s="903"/>
      <c r="I58" s="990"/>
      <c r="J58" s="990"/>
      <c r="K58" s="903"/>
      <c r="L58" s="990"/>
      <c r="M58" s="990"/>
      <c r="N58" s="1048">
        <f t="shared" si="10"/>
        <v>0</v>
      </c>
      <c r="O58" s="1049"/>
      <c r="P58" s="1050">
        <f t="shared" si="5"/>
        <v>0</v>
      </c>
      <c r="Q58" s="1050"/>
      <c r="R58" s="1050">
        <f t="shared" si="6"/>
        <v>0</v>
      </c>
      <c r="S58" s="1050"/>
      <c r="T58" s="1050"/>
      <c r="U58" s="988">
        <f t="shared" si="7"/>
        <v>0</v>
      </c>
      <c r="V58" s="988"/>
      <c r="W58" s="988">
        <f t="shared" si="11"/>
        <v>0</v>
      </c>
      <c r="X58" s="988"/>
    </row>
    <row r="59" spans="1:24" ht="15.75" thickBot="1">
      <c r="A59" s="156">
        <v>16</v>
      </c>
      <c r="B59" s="1066" t="s">
        <v>74</v>
      </c>
      <c r="C59" s="523" t="s">
        <v>47</v>
      </c>
      <c r="D59" s="903">
        <f t="shared" si="0"/>
        <v>0</v>
      </c>
      <c r="E59" s="903">
        <f t="shared" si="1"/>
        <v>0</v>
      </c>
      <c r="F59" s="159"/>
      <c r="G59" s="160"/>
      <c r="H59" s="903"/>
      <c r="I59" s="990"/>
      <c r="J59" s="990"/>
      <c r="K59" s="903"/>
      <c r="L59" s="990"/>
      <c r="M59" s="990"/>
      <c r="N59" s="161">
        <f t="shared" si="10"/>
        <v>0</v>
      </c>
      <c r="O59" s="162"/>
      <c r="P59" s="138">
        <f t="shared" si="5"/>
        <v>0</v>
      </c>
      <c r="Q59" s="158"/>
      <c r="R59" s="138">
        <f t="shared" si="6"/>
        <v>0</v>
      </c>
      <c r="S59" s="158"/>
      <c r="T59" s="158"/>
      <c r="U59" s="737">
        <f t="shared" si="7"/>
        <v>0</v>
      </c>
      <c r="V59" s="757"/>
      <c r="W59" s="737">
        <f t="shared" si="11"/>
        <v>0</v>
      </c>
      <c r="X59" s="762"/>
    </row>
    <row r="60" spans="1:24" ht="15.75" thickBot="1">
      <c r="A60" s="1067"/>
      <c r="B60" s="1068"/>
      <c r="C60" s="1041" t="s">
        <v>21</v>
      </c>
      <c r="D60" s="903">
        <f t="shared" si="0"/>
        <v>0</v>
      </c>
      <c r="E60" s="903">
        <f t="shared" si="1"/>
        <v>0</v>
      </c>
      <c r="F60" s="1069"/>
      <c r="G60" s="1070"/>
      <c r="H60" s="903"/>
      <c r="I60" s="990"/>
      <c r="J60" s="990"/>
      <c r="K60" s="903"/>
      <c r="L60" s="990"/>
      <c r="M60" s="990"/>
      <c r="N60" s="1056">
        <f t="shared" si="10"/>
        <v>0</v>
      </c>
      <c r="O60" s="1071"/>
      <c r="P60" s="1043">
        <f t="shared" si="5"/>
        <v>0</v>
      </c>
      <c r="Q60" s="1072"/>
      <c r="R60" s="1043">
        <f t="shared" si="6"/>
        <v>0</v>
      </c>
      <c r="S60" s="1072"/>
      <c r="T60" s="1072"/>
      <c r="U60" s="987">
        <f t="shared" si="7"/>
        <v>0</v>
      </c>
      <c r="V60" s="991"/>
      <c r="W60" s="987">
        <f t="shared" si="11"/>
        <v>0</v>
      </c>
      <c r="X60" s="992"/>
    </row>
    <row r="61" spans="1:24" ht="56.25" customHeight="1" thickBot="1">
      <c r="A61" s="156">
        <v>17</v>
      </c>
      <c r="B61" s="1073" t="s">
        <v>75</v>
      </c>
      <c r="C61" s="523" t="s">
        <v>24</v>
      </c>
      <c r="D61" s="903">
        <f t="shared" si="0"/>
        <v>0</v>
      </c>
      <c r="E61" s="903">
        <f t="shared" si="1"/>
        <v>0</v>
      </c>
      <c r="F61" s="159"/>
      <c r="G61" s="160"/>
      <c r="H61" s="903"/>
      <c r="I61" s="990"/>
      <c r="J61" s="990"/>
      <c r="K61" s="903"/>
      <c r="L61" s="990"/>
      <c r="M61" s="990"/>
      <c r="N61" s="161">
        <f t="shared" si="10"/>
        <v>0</v>
      </c>
      <c r="O61" s="162"/>
      <c r="P61" s="138">
        <f t="shared" si="5"/>
        <v>0</v>
      </c>
      <c r="Q61" s="158"/>
      <c r="R61" s="138">
        <f t="shared" si="6"/>
        <v>0</v>
      </c>
      <c r="S61" s="158"/>
      <c r="T61" s="158"/>
      <c r="U61" s="737">
        <f t="shared" si="7"/>
        <v>0</v>
      </c>
      <c r="V61" s="757"/>
      <c r="W61" s="737">
        <f t="shared" si="11"/>
        <v>0</v>
      </c>
      <c r="X61" s="762"/>
    </row>
    <row r="62" spans="1:24" ht="15.75" thickBot="1">
      <c r="A62" s="1067"/>
      <c r="B62" s="1074"/>
      <c r="C62" s="1041" t="s">
        <v>21</v>
      </c>
      <c r="D62" s="903">
        <f t="shared" si="0"/>
        <v>0</v>
      </c>
      <c r="E62" s="903">
        <f t="shared" si="1"/>
        <v>0</v>
      </c>
      <c r="F62" s="1069"/>
      <c r="G62" s="1070"/>
      <c r="H62" s="903"/>
      <c r="I62" s="990"/>
      <c r="J62" s="990"/>
      <c r="K62" s="903"/>
      <c r="L62" s="990"/>
      <c r="M62" s="990"/>
      <c r="N62" s="1056">
        <f t="shared" si="10"/>
        <v>0</v>
      </c>
      <c r="O62" s="1071"/>
      <c r="P62" s="1043">
        <f t="shared" si="5"/>
        <v>0</v>
      </c>
      <c r="Q62" s="1072"/>
      <c r="R62" s="1043">
        <f t="shared" si="6"/>
        <v>0</v>
      </c>
      <c r="S62" s="1072"/>
      <c r="T62" s="1072"/>
      <c r="U62" s="987">
        <f t="shared" si="7"/>
        <v>0</v>
      </c>
      <c r="V62" s="991"/>
      <c r="W62" s="987">
        <f t="shared" si="11"/>
        <v>0</v>
      </c>
      <c r="X62" s="992"/>
    </row>
    <row r="63" spans="1:24" ht="15.75" thickBot="1">
      <c r="A63" s="156">
        <v>18</v>
      </c>
      <c r="B63" s="1066" t="s">
        <v>76</v>
      </c>
      <c r="C63" s="523" t="s">
        <v>47</v>
      </c>
      <c r="D63" s="903">
        <f t="shared" si="0"/>
        <v>1</v>
      </c>
      <c r="E63" s="903">
        <f t="shared" si="1"/>
        <v>0</v>
      </c>
      <c r="F63" s="159"/>
      <c r="G63" s="160"/>
      <c r="H63" s="903">
        <f>I63</f>
        <v>1</v>
      </c>
      <c r="I63" s="993">
        <f>1</f>
        <v>1</v>
      </c>
      <c r="J63" s="990"/>
      <c r="K63" s="903"/>
      <c r="L63" s="990"/>
      <c r="M63" s="990"/>
      <c r="N63" s="161">
        <f t="shared" si="10"/>
        <v>0</v>
      </c>
      <c r="O63" s="162"/>
      <c r="P63" s="138">
        <f t="shared" si="5"/>
        <v>0</v>
      </c>
      <c r="Q63" s="158"/>
      <c r="R63" s="138">
        <f t="shared" si="6"/>
        <v>0</v>
      </c>
      <c r="S63" s="158"/>
      <c r="T63" s="158"/>
      <c r="U63" s="737">
        <f t="shared" si="7"/>
        <v>0</v>
      </c>
      <c r="V63" s="757"/>
      <c r="W63" s="737">
        <f t="shared" si="11"/>
        <v>0</v>
      </c>
      <c r="X63" s="762"/>
    </row>
    <row r="64" spans="1:24" ht="15.75" thickBot="1">
      <c r="A64" s="1067"/>
      <c r="B64" s="1068"/>
      <c r="C64" s="1041" t="s">
        <v>21</v>
      </c>
      <c r="D64" s="903">
        <f t="shared" si="0"/>
        <v>13.766999999999999</v>
      </c>
      <c r="E64" s="903">
        <f t="shared" si="1"/>
        <v>0</v>
      </c>
      <c r="F64" s="1069"/>
      <c r="G64" s="1070"/>
      <c r="H64" s="903">
        <f>I64</f>
        <v>13.766999999999999</v>
      </c>
      <c r="I64" s="990">
        <f>13.767</f>
        <v>13.766999999999999</v>
      </c>
      <c r="J64" s="990"/>
      <c r="K64" s="903"/>
      <c r="L64" s="990"/>
      <c r="M64" s="990"/>
      <c r="N64" s="1056">
        <f t="shared" si="10"/>
        <v>0</v>
      </c>
      <c r="O64" s="1071"/>
      <c r="P64" s="1043">
        <f t="shared" si="5"/>
        <v>0</v>
      </c>
      <c r="Q64" s="1072"/>
      <c r="R64" s="1043">
        <f t="shared" si="6"/>
        <v>0</v>
      </c>
      <c r="S64" s="1072"/>
      <c r="T64" s="1072"/>
      <c r="U64" s="987">
        <f t="shared" si="7"/>
        <v>0</v>
      </c>
      <c r="V64" s="991"/>
      <c r="W64" s="987">
        <f t="shared" si="11"/>
        <v>0</v>
      </c>
      <c r="X64" s="992"/>
    </row>
    <row r="65" spans="1:24" ht="15.75" thickBot="1">
      <c r="A65" s="156">
        <v>19</v>
      </c>
      <c r="B65" s="1066" t="s">
        <v>77</v>
      </c>
      <c r="C65" s="523" t="s">
        <v>47</v>
      </c>
      <c r="D65" s="903">
        <f t="shared" si="0"/>
        <v>0</v>
      </c>
      <c r="E65" s="903">
        <f t="shared" si="1"/>
        <v>0</v>
      </c>
      <c r="F65" s="159"/>
      <c r="G65" s="160"/>
      <c r="H65" s="903"/>
      <c r="I65" s="990"/>
      <c r="J65" s="990"/>
      <c r="K65" s="903"/>
      <c r="L65" s="990"/>
      <c r="M65" s="990"/>
      <c r="N65" s="161">
        <f t="shared" si="10"/>
        <v>0</v>
      </c>
      <c r="O65" s="162"/>
      <c r="P65" s="138">
        <f t="shared" si="5"/>
        <v>0</v>
      </c>
      <c r="Q65" s="158"/>
      <c r="R65" s="138">
        <f t="shared" si="6"/>
        <v>0</v>
      </c>
      <c r="S65" s="158"/>
      <c r="T65" s="158"/>
      <c r="U65" s="737">
        <f t="shared" si="7"/>
        <v>0</v>
      </c>
      <c r="V65" s="757"/>
      <c r="W65" s="737">
        <f t="shared" si="11"/>
        <v>0</v>
      </c>
      <c r="X65" s="762"/>
    </row>
    <row r="66" spans="1:24" ht="15.75" thickBot="1">
      <c r="A66" s="1067"/>
      <c r="B66" s="1068"/>
      <c r="C66" s="1041" t="s">
        <v>21</v>
      </c>
      <c r="D66" s="903">
        <f t="shared" si="0"/>
        <v>0</v>
      </c>
      <c r="E66" s="903">
        <f t="shared" si="1"/>
        <v>0</v>
      </c>
      <c r="F66" s="1069"/>
      <c r="G66" s="1070"/>
      <c r="H66" s="903"/>
      <c r="I66" s="990"/>
      <c r="J66" s="990"/>
      <c r="K66" s="903"/>
      <c r="L66" s="990"/>
      <c r="M66" s="990"/>
      <c r="N66" s="1056">
        <f t="shared" si="10"/>
        <v>0</v>
      </c>
      <c r="O66" s="1071"/>
      <c r="P66" s="1043">
        <f t="shared" si="5"/>
        <v>0</v>
      </c>
      <c r="Q66" s="1072"/>
      <c r="R66" s="1043">
        <f t="shared" si="6"/>
        <v>0</v>
      </c>
      <c r="S66" s="1072"/>
      <c r="T66" s="1072"/>
      <c r="U66" s="987">
        <f t="shared" si="7"/>
        <v>0</v>
      </c>
      <c r="V66" s="991"/>
      <c r="W66" s="987">
        <f t="shared" si="11"/>
        <v>0</v>
      </c>
      <c r="X66" s="992"/>
    </row>
    <row r="67" spans="1:24" ht="56.25" customHeight="1" thickBot="1">
      <c r="A67" s="156">
        <v>20</v>
      </c>
      <c r="B67" s="1073" t="s">
        <v>78</v>
      </c>
      <c r="C67" s="523" t="s">
        <v>79</v>
      </c>
      <c r="D67" s="903">
        <f t="shared" si="0"/>
        <v>0</v>
      </c>
      <c r="E67" s="903">
        <f t="shared" si="1"/>
        <v>0</v>
      </c>
      <c r="F67" s="159"/>
      <c r="G67" s="160"/>
      <c r="H67" s="903"/>
      <c r="I67" s="990"/>
      <c r="J67" s="990"/>
      <c r="K67" s="903"/>
      <c r="L67" s="990"/>
      <c r="M67" s="990"/>
      <c r="N67" s="161">
        <f t="shared" si="10"/>
        <v>0</v>
      </c>
      <c r="O67" s="162"/>
      <c r="P67" s="138">
        <f t="shared" si="5"/>
        <v>0</v>
      </c>
      <c r="Q67" s="158"/>
      <c r="R67" s="138">
        <f t="shared" si="6"/>
        <v>0</v>
      </c>
      <c r="S67" s="158"/>
      <c r="T67" s="158"/>
      <c r="U67" s="737">
        <f t="shared" si="7"/>
        <v>0</v>
      </c>
      <c r="V67" s="757"/>
      <c r="W67" s="737">
        <f t="shared" si="11"/>
        <v>0</v>
      </c>
      <c r="X67" s="762"/>
    </row>
    <row r="68" spans="1:24" ht="15.75" thickBot="1">
      <c r="A68" s="1067"/>
      <c r="B68" s="1068"/>
      <c r="C68" s="1041" t="s">
        <v>21</v>
      </c>
      <c r="D68" s="903">
        <f t="shared" si="0"/>
        <v>0</v>
      </c>
      <c r="E68" s="903">
        <f t="shared" si="1"/>
        <v>0</v>
      </c>
      <c r="F68" s="1069"/>
      <c r="G68" s="1070"/>
      <c r="H68" s="903"/>
      <c r="I68" s="990"/>
      <c r="J68" s="990"/>
      <c r="K68" s="903"/>
      <c r="L68" s="990"/>
      <c r="M68" s="990"/>
      <c r="N68" s="1056">
        <f t="shared" si="10"/>
        <v>0</v>
      </c>
      <c r="O68" s="1071"/>
      <c r="P68" s="1043">
        <f t="shared" si="5"/>
        <v>0</v>
      </c>
      <c r="Q68" s="1072"/>
      <c r="R68" s="1043">
        <f t="shared" si="6"/>
        <v>0</v>
      </c>
      <c r="S68" s="1072"/>
      <c r="T68" s="1072"/>
      <c r="U68" s="987">
        <f t="shared" si="7"/>
        <v>0</v>
      </c>
      <c r="V68" s="991"/>
      <c r="W68" s="987">
        <f t="shared" si="11"/>
        <v>0</v>
      </c>
      <c r="X68" s="992"/>
    </row>
    <row r="69" spans="1:24" ht="60" customHeight="1" thickBot="1">
      <c r="A69" s="156">
        <v>21</v>
      </c>
      <c r="B69" s="1073" t="s">
        <v>80</v>
      </c>
      <c r="C69" s="523" t="s">
        <v>24</v>
      </c>
      <c r="D69" s="903">
        <f t="shared" si="0"/>
        <v>0</v>
      </c>
      <c r="E69" s="903">
        <f t="shared" si="1"/>
        <v>0</v>
      </c>
      <c r="F69" s="159"/>
      <c r="G69" s="160"/>
      <c r="H69" s="903"/>
      <c r="I69" s="990"/>
      <c r="J69" s="990"/>
      <c r="K69" s="903"/>
      <c r="L69" s="990"/>
      <c r="M69" s="990"/>
      <c r="N69" s="161">
        <f t="shared" si="10"/>
        <v>0</v>
      </c>
      <c r="O69" s="162"/>
      <c r="P69" s="138">
        <f t="shared" si="5"/>
        <v>0</v>
      </c>
      <c r="Q69" s="158"/>
      <c r="R69" s="138">
        <f t="shared" si="6"/>
        <v>0</v>
      </c>
      <c r="S69" s="158"/>
      <c r="T69" s="158"/>
      <c r="U69" s="737">
        <f t="shared" si="7"/>
        <v>0</v>
      </c>
      <c r="V69" s="757"/>
      <c r="W69" s="737">
        <f t="shared" si="11"/>
        <v>0</v>
      </c>
      <c r="X69" s="762"/>
    </row>
    <row r="70" spans="1:24" ht="15.75" thickBot="1">
      <c r="A70" s="1067"/>
      <c r="B70" s="1068"/>
      <c r="C70" s="1041" t="s">
        <v>21</v>
      </c>
      <c r="D70" s="903">
        <f t="shared" si="0"/>
        <v>0</v>
      </c>
      <c r="E70" s="903">
        <f t="shared" si="1"/>
        <v>0</v>
      </c>
      <c r="F70" s="1069"/>
      <c r="G70" s="1070"/>
      <c r="H70" s="903"/>
      <c r="I70" s="990"/>
      <c r="J70" s="990"/>
      <c r="K70" s="903"/>
      <c r="L70" s="990"/>
      <c r="M70" s="990"/>
      <c r="N70" s="1056">
        <f t="shared" si="10"/>
        <v>0</v>
      </c>
      <c r="O70" s="1071"/>
      <c r="P70" s="1043">
        <f t="shared" si="5"/>
        <v>0</v>
      </c>
      <c r="Q70" s="1072"/>
      <c r="R70" s="1043">
        <f t="shared" si="6"/>
        <v>0</v>
      </c>
      <c r="S70" s="1072"/>
      <c r="T70" s="1072"/>
      <c r="U70" s="987">
        <f t="shared" si="7"/>
        <v>0</v>
      </c>
      <c r="V70" s="991"/>
      <c r="W70" s="987">
        <f t="shared" si="11"/>
        <v>0</v>
      </c>
      <c r="X70" s="992"/>
    </row>
    <row r="71" spans="1:24" ht="16.5" thickTop="1" thickBot="1">
      <c r="A71" s="556" t="s">
        <v>81</v>
      </c>
      <c r="B71" s="1075" t="s">
        <v>82</v>
      </c>
      <c r="C71" s="525" t="s">
        <v>21</v>
      </c>
      <c r="D71" s="903">
        <f>D73+D83+D85</f>
        <v>1429.2380000000001</v>
      </c>
      <c r="E71" s="903">
        <f t="shared" si="1"/>
        <v>0</v>
      </c>
      <c r="F71" s="558">
        <f t="shared" ref="F71:X71" si="13">F73+F83+F85</f>
        <v>0</v>
      </c>
      <c r="G71" s="559">
        <f t="shared" si="13"/>
        <v>0</v>
      </c>
      <c r="H71" s="928">
        <f>H73+H83+H85</f>
        <v>1318.8780000000002</v>
      </c>
      <c r="I71" s="560">
        <f>I73+I83+I85</f>
        <v>1318.8780000000002</v>
      </c>
      <c r="J71" s="560">
        <f>J73+J83+J85</f>
        <v>0</v>
      </c>
      <c r="K71" s="933">
        <f>K73+K83+K85</f>
        <v>110.36</v>
      </c>
      <c r="L71" s="561">
        <f>L73+L83+L85</f>
        <v>110.36</v>
      </c>
      <c r="M71" s="561"/>
      <c r="N71" s="558">
        <f t="shared" si="13"/>
        <v>0</v>
      </c>
      <c r="O71" s="558">
        <f t="shared" si="13"/>
        <v>0</v>
      </c>
      <c r="P71" s="558">
        <f t="shared" si="13"/>
        <v>0</v>
      </c>
      <c r="Q71" s="558">
        <f t="shared" si="13"/>
        <v>0</v>
      </c>
      <c r="R71" s="558">
        <f t="shared" si="13"/>
        <v>0</v>
      </c>
      <c r="S71" s="558">
        <f t="shared" si="13"/>
        <v>0</v>
      </c>
      <c r="T71" s="558">
        <f t="shared" si="13"/>
        <v>0</v>
      </c>
      <c r="U71" s="775">
        <f t="shared" si="13"/>
        <v>0</v>
      </c>
      <c r="V71" s="775">
        <f t="shared" si="13"/>
        <v>0</v>
      </c>
      <c r="W71" s="775">
        <f t="shared" si="13"/>
        <v>0</v>
      </c>
      <c r="X71" s="775">
        <f t="shared" si="13"/>
        <v>0</v>
      </c>
    </row>
    <row r="72" spans="1:24" ht="16.5" thickTop="1" thickBot="1">
      <c r="A72" s="111">
        <v>18</v>
      </c>
      <c r="B72" s="1076" t="s">
        <v>83</v>
      </c>
      <c r="C72" s="526" t="s">
        <v>51</v>
      </c>
      <c r="D72" s="903">
        <f>H72+K72</f>
        <v>0.94475000000000009</v>
      </c>
      <c r="E72" s="903">
        <f t="shared" si="1"/>
        <v>0</v>
      </c>
      <c r="F72" s="53">
        <f t="shared" ref="F72:G73" si="14">F74+F76+F78+F80</f>
        <v>0</v>
      </c>
      <c r="G72" s="53">
        <f t="shared" si="14"/>
        <v>0</v>
      </c>
      <c r="H72" s="926">
        <f t="shared" ref="H72:H85" si="15">I72</f>
        <v>0.82275000000000009</v>
      </c>
      <c r="I72" s="18">
        <f>I74+I76+I78+I80</f>
        <v>0.82275000000000009</v>
      </c>
      <c r="J72" s="18"/>
      <c r="K72" s="932">
        <f>L72</f>
        <v>0.122</v>
      </c>
      <c r="L72" s="18">
        <f>L74+L80+L76+L78</f>
        <v>0.122</v>
      </c>
      <c r="M72" s="18"/>
      <c r="N72" s="54">
        <f t="shared" ref="N72:X73" si="16">N74+N76+N78+N80</f>
        <v>0</v>
      </c>
      <c r="O72" s="53">
        <f t="shared" si="16"/>
        <v>0</v>
      </c>
      <c r="P72" s="53">
        <f t="shared" si="16"/>
        <v>0</v>
      </c>
      <c r="Q72" s="53">
        <f t="shared" si="16"/>
        <v>0</v>
      </c>
      <c r="R72" s="53">
        <f t="shared" si="16"/>
        <v>0</v>
      </c>
      <c r="S72" s="53">
        <f t="shared" si="16"/>
        <v>0</v>
      </c>
      <c r="T72" s="53">
        <f t="shared" si="16"/>
        <v>0</v>
      </c>
      <c r="U72" s="694">
        <f t="shared" si="16"/>
        <v>0</v>
      </c>
      <c r="V72" s="694">
        <f t="shared" si="16"/>
        <v>0</v>
      </c>
      <c r="W72" s="694">
        <f t="shared" si="16"/>
        <v>0</v>
      </c>
      <c r="X72" s="694">
        <f t="shared" si="16"/>
        <v>0</v>
      </c>
    </row>
    <row r="73" spans="1:24" ht="15.75" thickBot="1">
      <c r="A73" s="60"/>
      <c r="B73" s="1076" t="s">
        <v>84</v>
      </c>
      <c r="C73" s="1077" t="s">
        <v>21</v>
      </c>
      <c r="D73" s="903">
        <f>D75+D77+D79+D81</f>
        <v>1050.461</v>
      </c>
      <c r="E73" s="903">
        <f t="shared" si="1"/>
        <v>0</v>
      </c>
      <c r="F73" s="53">
        <f t="shared" si="14"/>
        <v>0</v>
      </c>
      <c r="G73" s="53">
        <f t="shared" si="14"/>
        <v>0</v>
      </c>
      <c r="H73" s="926">
        <f t="shared" si="15"/>
        <v>987.85900000000004</v>
      </c>
      <c r="I73" s="18">
        <f>I75+I77+I79+I81</f>
        <v>987.85900000000004</v>
      </c>
      <c r="J73" s="18"/>
      <c r="K73" s="932">
        <f>L73</f>
        <v>62.601999999999997</v>
      </c>
      <c r="L73" s="18">
        <f>L75+L77+L79+L81</f>
        <v>62.601999999999997</v>
      </c>
      <c r="M73" s="18"/>
      <c r="N73" s="54">
        <f t="shared" si="16"/>
        <v>0</v>
      </c>
      <c r="O73" s="53">
        <f t="shared" si="16"/>
        <v>0</v>
      </c>
      <c r="P73" s="53">
        <f t="shared" si="16"/>
        <v>0</v>
      </c>
      <c r="Q73" s="53">
        <f t="shared" si="16"/>
        <v>0</v>
      </c>
      <c r="R73" s="53">
        <f t="shared" si="16"/>
        <v>0</v>
      </c>
      <c r="S73" s="53">
        <f t="shared" si="16"/>
        <v>0</v>
      </c>
      <c r="T73" s="53">
        <f t="shared" si="16"/>
        <v>0</v>
      </c>
      <c r="U73" s="694">
        <f t="shared" si="16"/>
        <v>0</v>
      </c>
      <c r="V73" s="694">
        <f t="shared" si="16"/>
        <v>0</v>
      </c>
      <c r="W73" s="694">
        <f t="shared" si="16"/>
        <v>0</v>
      </c>
      <c r="X73" s="694">
        <f t="shared" si="16"/>
        <v>0</v>
      </c>
    </row>
    <row r="74" spans="1:24" ht="15.75" thickBot="1">
      <c r="A74" s="183" t="s">
        <v>85</v>
      </c>
      <c r="B74" s="1078" t="s">
        <v>86</v>
      </c>
      <c r="C74" s="1077" t="s">
        <v>87</v>
      </c>
      <c r="D74" s="903">
        <f t="shared" ref="D74:D85" si="17">I74+L74</f>
        <v>1.6E-2</v>
      </c>
      <c r="E74" s="903">
        <f t="shared" si="1"/>
        <v>0</v>
      </c>
      <c r="F74" s="990"/>
      <c r="G74" s="990"/>
      <c r="H74" s="926">
        <f t="shared" si="15"/>
        <v>8.0000000000000002E-3</v>
      </c>
      <c r="I74" s="20">
        <f>0.004+0.002+0.002</f>
        <v>8.0000000000000002E-3</v>
      </c>
      <c r="J74" s="20"/>
      <c r="K74" s="932">
        <f>L74</f>
        <v>8.0000000000000002E-3</v>
      </c>
      <c r="L74" s="20">
        <f>0.002+0.001+0.005</f>
        <v>8.0000000000000002E-3</v>
      </c>
      <c r="M74" s="20"/>
      <c r="N74" s="1037">
        <f t="shared" ref="N74:N85" si="18">O74</f>
        <v>0</v>
      </c>
      <c r="O74" s="1079"/>
      <c r="P74" s="1038">
        <f t="shared" ref="P74:P85" si="19">Q74</f>
        <v>0</v>
      </c>
      <c r="Q74" s="1038"/>
      <c r="R74" s="1038">
        <f t="shared" ref="R74:R85" si="20">S74+T74</f>
        <v>0</v>
      </c>
      <c r="S74" s="1038"/>
      <c r="T74" s="1038"/>
      <c r="U74" s="986">
        <f t="shared" ref="U74:U85" si="21">V74</f>
        <v>0</v>
      </c>
      <c r="V74" s="986"/>
      <c r="W74" s="986">
        <f t="shared" ref="W74:W85" si="22">X74</f>
        <v>0</v>
      </c>
      <c r="X74" s="986"/>
    </row>
    <row r="75" spans="1:24" ht="15.75" thickBot="1">
      <c r="A75" s="1080"/>
      <c r="B75" s="1078"/>
      <c r="C75" s="1077" t="s">
        <v>21</v>
      </c>
      <c r="D75" s="903">
        <f t="shared" si="17"/>
        <v>17.29</v>
      </c>
      <c r="E75" s="903">
        <f t="shared" si="1"/>
        <v>0</v>
      </c>
      <c r="F75" s="990"/>
      <c r="G75" s="990"/>
      <c r="H75" s="926">
        <f t="shared" si="15"/>
        <v>8.5060000000000002</v>
      </c>
      <c r="I75" s="20">
        <f>4.187+2.984+1.335</f>
        <v>8.5060000000000002</v>
      </c>
      <c r="J75" s="20"/>
      <c r="K75" s="932">
        <f>L75</f>
        <v>8.7839999999999989</v>
      </c>
      <c r="L75" s="20">
        <f>2.22+2.511+4.053</f>
        <v>8.7839999999999989</v>
      </c>
      <c r="M75" s="20"/>
      <c r="N75" s="1037">
        <f t="shared" si="18"/>
        <v>0</v>
      </c>
      <c r="O75" s="1079"/>
      <c r="P75" s="1038">
        <f t="shared" si="19"/>
        <v>0</v>
      </c>
      <c r="Q75" s="1038"/>
      <c r="R75" s="1038">
        <f t="shared" si="20"/>
        <v>0</v>
      </c>
      <c r="S75" s="1038"/>
      <c r="T75" s="1038"/>
      <c r="U75" s="986">
        <f t="shared" si="21"/>
        <v>0</v>
      </c>
      <c r="V75" s="986"/>
      <c r="W75" s="986">
        <f t="shared" si="22"/>
        <v>0</v>
      </c>
      <c r="X75" s="986"/>
    </row>
    <row r="76" spans="1:24" ht="15.75" thickBot="1">
      <c r="A76" s="183" t="s">
        <v>88</v>
      </c>
      <c r="B76" s="1078" t="s">
        <v>89</v>
      </c>
      <c r="C76" s="1077" t="s">
        <v>51</v>
      </c>
      <c r="D76" s="903">
        <f t="shared" si="17"/>
        <v>0.32610000000000006</v>
      </c>
      <c r="E76" s="903">
        <f t="shared" si="1"/>
        <v>0</v>
      </c>
      <c r="F76" s="990"/>
      <c r="G76" s="990"/>
      <c r="H76" s="926">
        <f t="shared" si="15"/>
        <v>0.30510000000000004</v>
      </c>
      <c r="I76" s="20">
        <f>0.003+0.022+0.006+0.008+0.008+0.022+0.007+0.002+0.008+0.0002+0.001+0.006+0.001+0.008+0.004+0.002+0.001+0.0035+0.0013+0.001+0.0045+0.0001+0.0035+0.086+0.096</f>
        <v>0.30510000000000004</v>
      </c>
      <c r="J76" s="20"/>
      <c r="K76" s="932"/>
      <c r="L76" s="20">
        <f>0.011+0.01</f>
        <v>2.0999999999999998E-2</v>
      </c>
      <c r="M76" s="20"/>
      <c r="N76" s="1037">
        <f t="shared" si="18"/>
        <v>0</v>
      </c>
      <c r="O76" s="1079"/>
      <c r="P76" s="1038">
        <f t="shared" si="19"/>
        <v>0</v>
      </c>
      <c r="Q76" s="1038"/>
      <c r="R76" s="1038">
        <f t="shared" si="20"/>
        <v>0</v>
      </c>
      <c r="S76" s="1038"/>
      <c r="T76" s="1038"/>
      <c r="U76" s="986">
        <f t="shared" si="21"/>
        <v>0</v>
      </c>
      <c r="V76" s="986"/>
      <c r="W76" s="986">
        <f t="shared" si="22"/>
        <v>0</v>
      </c>
      <c r="X76" s="986"/>
    </row>
    <row r="77" spans="1:24" ht="15.75" thickBot="1">
      <c r="A77" s="1080"/>
      <c r="B77" s="1078"/>
      <c r="C77" s="1077" t="s">
        <v>21</v>
      </c>
      <c r="D77" s="903">
        <f t="shared" si="17"/>
        <v>327.44800000000004</v>
      </c>
      <c r="E77" s="903">
        <f t="shared" si="1"/>
        <v>0</v>
      </c>
      <c r="F77" s="990"/>
      <c r="G77" s="990"/>
      <c r="H77" s="926">
        <f t="shared" si="15"/>
        <v>312.30900000000003</v>
      </c>
      <c r="I77" s="20">
        <f>172.814+67.171+72.324</f>
        <v>312.30900000000003</v>
      </c>
      <c r="J77" s="20"/>
      <c r="K77" s="932"/>
      <c r="L77" s="28">
        <f>7.152+7.987</f>
        <v>15.138999999999999</v>
      </c>
      <c r="M77" s="20"/>
      <c r="N77" s="1037">
        <f t="shared" si="18"/>
        <v>0</v>
      </c>
      <c r="O77" s="1079"/>
      <c r="P77" s="1038">
        <f t="shared" si="19"/>
        <v>0</v>
      </c>
      <c r="Q77" s="1038"/>
      <c r="R77" s="1038">
        <f t="shared" si="20"/>
        <v>0</v>
      </c>
      <c r="S77" s="1038"/>
      <c r="T77" s="1038"/>
      <c r="U77" s="986">
        <f t="shared" si="21"/>
        <v>0</v>
      </c>
      <c r="V77" s="986"/>
      <c r="W77" s="986">
        <f t="shared" si="22"/>
        <v>0</v>
      </c>
      <c r="X77" s="986"/>
    </row>
    <row r="78" spans="1:24" ht="15.75" thickBot="1">
      <c r="A78" s="183" t="s">
        <v>90</v>
      </c>
      <c r="B78" s="1078" t="s">
        <v>91</v>
      </c>
      <c r="C78" s="1077" t="s">
        <v>51</v>
      </c>
      <c r="D78" s="903">
        <f t="shared" si="17"/>
        <v>0.26669999999999999</v>
      </c>
      <c r="E78" s="903">
        <f t="shared" ref="E78:E97" si="23">F78+G78</f>
        <v>0</v>
      </c>
      <c r="F78" s="990"/>
      <c r="G78" s="990"/>
      <c r="H78" s="926">
        <f t="shared" si="15"/>
        <v>0.20369999999999999</v>
      </c>
      <c r="I78" s="20">
        <f>0.0045+0.006+0.002+0.0007+0.0005+0.006+0.028+0.008+0.004+0.008+0.003+0.002+0.0008+0.0015+0.009+0.009+0.001+0.0008+0.0002+0.0001+0.006+0.001+0.0006+0.055+0.046</f>
        <v>0.20369999999999999</v>
      </c>
      <c r="J78" s="20"/>
      <c r="K78" s="932"/>
      <c r="L78" s="20">
        <f>0.055+0.008</f>
        <v>6.3E-2</v>
      </c>
      <c r="M78" s="20"/>
      <c r="N78" s="1037">
        <f t="shared" si="18"/>
        <v>0</v>
      </c>
      <c r="O78" s="1079"/>
      <c r="P78" s="1038">
        <f t="shared" si="19"/>
        <v>0</v>
      </c>
      <c r="Q78" s="1038"/>
      <c r="R78" s="1038">
        <f t="shared" si="20"/>
        <v>0</v>
      </c>
      <c r="S78" s="1038"/>
      <c r="T78" s="1038"/>
      <c r="U78" s="986">
        <f t="shared" si="21"/>
        <v>0</v>
      </c>
      <c r="V78" s="986"/>
      <c r="W78" s="986">
        <f t="shared" si="22"/>
        <v>0</v>
      </c>
      <c r="X78" s="986"/>
    </row>
    <row r="79" spans="1:24" ht="15.75" thickBot="1">
      <c r="A79" s="1080"/>
      <c r="B79" s="1078"/>
      <c r="C79" s="1077" t="s">
        <v>21</v>
      </c>
      <c r="D79" s="903">
        <f t="shared" si="17"/>
        <v>228.09200000000001</v>
      </c>
      <c r="E79" s="903">
        <f t="shared" si="23"/>
        <v>0</v>
      </c>
      <c r="F79" s="990"/>
      <c r="G79" s="990"/>
      <c r="H79" s="926">
        <f t="shared" si="15"/>
        <v>220.102</v>
      </c>
      <c r="I79" s="20">
        <f>139.292+45.237+35.573</f>
        <v>220.102</v>
      </c>
      <c r="J79" s="20"/>
      <c r="K79" s="932"/>
      <c r="L79" s="20">
        <f>0.86+7.13</f>
        <v>7.99</v>
      </c>
      <c r="M79" s="20"/>
      <c r="N79" s="1037">
        <f t="shared" si="18"/>
        <v>0</v>
      </c>
      <c r="O79" s="1079"/>
      <c r="P79" s="1038">
        <f t="shared" si="19"/>
        <v>0</v>
      </c>
      <c r="Q79" s="1038"/>
      <c r="R79" s="1038">
        <f t="shared" si="20"/>
        <v>0</v>
      </c>
      <c r="S79" s="1038"/>
      <c r="T79" s="1038"/>
      <c r="U79" s="986">
        <f t="shared" si="21"/>
        <v>0</v>
      </c>
      <c r="V79" s="986"/>
      <c r="W79" s="986">
        <f t="shared" si="22"/>
        <v>0</v>
      </c>
      <c r="X79" s="986"/>
    </row>
    <row r="80" spans="1:24" ht="15.75" thickBot="1">
      <c r="A80" s="183" t="s">
        <v>92</v>
      </c>
      <c r="B80" s="1078" t="s">
        <v>93</v>
      </c>
      <c r="C80" s="1077" t="s">
        <v>51</v>
      </c>
      <c r="D80" s="903">
        <f t="shared" si="17"/>
        <v>0.33594999999999997</v>
      </c>
      <c r="E80" s="903">
        <f t="shared" si="23"/>
        <v>0</v>
      </c>
      <c r="F80" s="990"/>
      <c r="G80" s="990"/>
      <c r="H80" s="926">
        <f t="shared" si="15"/>
        <v>0.30595</v>
      </c>
      <c r="I80" s="20">
        <f>0.002+0.002+0.0006+0.00035+0.001+0.011+0.0055+0.011+0.002+0.0045+0.188+0.078</f>
        <v>0.30595</v>
      </c>
      <c r="J80" s="20"/>
      <c r="K80" s="932">
        <f>L80</f>
        <v>0.03</v>
      </c>
      <c r="L80" s="20">
        <f>0.008+0.002+0.02</f>
        <v>0.03</v>
      </c>
      <c r="M80" s="20"/>
      <c r="N80" s="1037">
        <f t="shared" si="18"/>
        <v>0</v>
      </c>
      <c r="O80" s="1079"/>
      <c r="P80" s="1038">
        <f t="shared" si="19"/>
        <v>0</v>
      </c>
      <c r="Q80" s="1038"/>
      <c r="R80" s="1038">
        <f t="shared" si="20"/>
        <v>0</v>
      </c>
      <c r="S80" s="1038"/>
      <c r="T80" s="1038"/>
      <c r="U80" s="986">
        <f t="shared" si="21"/>
        <v>0</v>
      </c>
      <c r="V80" s="986"/>
      <c r="W80" s="986">
        <f t="shared" si="22"/>
        <v>0</v>
      </c>
      <c r="X80" s="986"/>
    </row>
    <row r="81" spans="1:24" ht="15.75" thickBot="1">
      <c r="A81" s="1040"/>
      <c r="B81" s="1081"/>
      <c r="C81" s="1082" t="s">
        <v>21</v>
      </c>
      <c r="D81" s="903">
        <f t="shared" si="17"/>
        <v>477.63100000000003</v>
      </c>
      <c r="E81" s="903">
        <f t="shared" si="23"/>
        <v>0</v>
      </c>
      <c r="F81" s="990"/>
      <c r="G81" s="990"/>
      <c r="H81" s="926">
        <f t="shared" si="15"/>
        <v>446.94200000000001</v>
      </c>
      <c r="I81" s="20">
        <f>69.353+281.67+95.919</f>
        <v>446.94200000000001</v>
      </c>
      <c r="J81" s="20"/>
      <c r="K81" s="932">
        <f>L81</f>
        <v>30.689</v>
      </c>
      <c r="L81" s="20">
        <f>12.538+3.226+14.925</f>
        <v>30.689</v>
      </c>
      <c r="M81" s="20"/>
      <c r="N81" s="1037">
        <f t="shared" si="18"/>
        <v>0</v>
      </c>
      <c r="O81" s="1042"/>
      <c r="P81" s="1038">
        <f t="shared" si="19"/>
        <v>0</v>
      </c>
      <c r="Q81" s="1050"/>
      <c r="R81" s="1038">
        <f t="shared" si="20"/>
        <v>0</v>
      </c>
      <c r="S81" s="1050"/>
      <c r="T81" s="1050"/>
      <c r="U81" s="986">
        <f t="shared" si="21"/>
        <v>0</v>
      </c>
      <c r="V81" s="988"/>
      <c r="W81" s="986">
        <f t="shared" si="22"/>
        <v>0</v>
      </c>
      <c r="X81" s="988"/>
    </row>
    <row r="82" spans="1:24" ht="15.75" thickBot="1">
      <c r="A82" s="113">
        <v>19</v>
      </c>
      <c r="B82" s="253" t="s">
        <v>94</v>
      </c>
      <c r="C82" s="529" t="s">
        <v>47</v>
      </c>
      <c r="D82" s="903">
        <f t="shared" si="17"/>
        <v>10</v>
      </c>
      <c r="E82" s="903">
        <f t="shared" si="23"/>
        <v>0</v>
      </c>
      <c r="F82" s="990"/>
      <c r="G82" s="990"/>
      <c r="H82" s="926">
        <f t="shared" si="15"/>
        <v>10</v>
      </c>
      <c r="I82" s="20">
        <f>1+1+1+2+5</f>
        <v>10</v>
      </c>
      <c r="J82" s="20"/>
      <c r="K82" s="932"/>
      <c r="L82" s="20"/>
      <c r="M82" s="20"/>
      <c r="N82" s="1037">
        <f t="shared" si="18"/>
        <v>0</v>
      </c>
      <c r="O82" s="137"/>
      <c r="P82" s="1038">
        <f t="shared" si="19"/>
        <v>0</v>
      </c>
      <c r="Q82" s="123"/>
      <c r="R82" s="1038">
        <f t="shared" si="20"/>
        <v>0</v>
      </c>
      <c r="S82" s="123"/>
      <c r="T82" s="123"/>
      <c r="U82" s="986">
        <f t="shared" si="21"/>
        <v>0</v>
      </c>
      <c r="V82" s="722"/>
      <c r="W82" s="986">
        <f t="shared" si="22"/>
        <v>0</v>
      </c>
      <c r="X82" s="722"/>
    </row>
    <row r="83" spans="1:24" ht="15.75" thickBot="1">
      <c r="A83" s="1040"/>
      <c r="B83" s="1081"/>
      <c r="C83" s="1083" t="s">
        <v>21</v>
      </c>
      <c r="D83" s="903">
        <f t="shared" si="17"/>
        <v>57.097999999999999</v>
      </c>
      <c r="E83" s="903">
        <f t="shared" si="23"/>
        <v>0</v>
      </c>
      <c r="F83" s="990"/>
      <c r="G83" s="990"/>
      <c r="H83" s="926">
        <f t="shared" si="15"/>
        <v>57.097999999999999</v>
      </c>
      <c r="I83" s="20">
        <f>5.44+6.288+6.353+11.459+27.558</f>
        <v>57.097999999999999</v>
      </c>
      <c r="J83" s="20"/>
      <c r="K83" s="932"/>
      <c r="L83" s="20"/>
      <c r="M83" s="20"/>
      <c r="N83" s="1037">
        <f t="shared" si="18"/>
        <v>0</v>
      </c>
      <c r="O83" s="1042"/>
      <c r="P83" s="1038">
        <f t="shared" si="19"/>
        <v>0</v>
      </c>
      <c r="Q83" s="1043"/>
      <c r="R83" s="1038">
        <f t="shared" si="20"/>
        <v>0</v>
      </c>
      <c r="S83" s="1043"/>
      <c r="T83" s="1043"/>
      <c r="U83" s="986">
        <f t="shared" si="21"/>
        <v>0</v>
      </c>
      <c r="V83" s="987"/>
      <c r="W83" s="986">
        <f t="shared" si="22"/>
        <v>0</v>
      </c>
      <c r="X83" s="987"/>
    </row>
    <row r="84" spans="1:24" ht="15.75" thickBot="1">
      <c r="A84" s="191" t="s">
        <v>95</v>
      </c>
      <c r="B84" s="253" t="s">
        <v>197</v>
      </c>
      <c r="C84" s="529" t="s">
        <v>47</v>
      </c>
      <c r="D84" s="903">
        <f t="shared" si="17"/>
        <v>159</v>
      </c>
      <c r="E84" s="903">
        <f t="shared" si="23"/>
        <v>0</v>
      </c>
      <c r="F84" s="990"/>
      <c r="G84" s="990"/>
      <c r="H84" s="926">
        <f t="shared" si="15"/>
        <v>150</v>
      </c>
      <c r="I84" s="20">
        <f>7+3+6+1+1+10+1+1+4+12+2+1+3+4+1+2+3+1+1+1+2+1+1+3+1+2+1+11+63</f>
        <v>150</v>
      </c>
      <c r="J84" s="20"/>
      <c r="K84" s="932">
        <f>L84</f>
        <v>9</v>
      </c>
      <c r="L84" s="20">
        <f>1+1+3+4</f>
        <v>9</v>
      </c>
      <c r="M84" s="20"/>
      <c r="N84" s="1037">
        <f t="shared" si="18"/>
        <v>0</v>
      </c>
      <c r="O84" s="137"/>
      <c r="P84" s="1038">
        <f t="shared" si="19"/>
        <v>0</v>
      </c>
      <c r="Q84" s="123"/>
      <c r="R84" s="1038">
        <f t="shared" si="20"/>
        <v>0</v>
      </c>
      <c r="S84" s="123"/>
      <c r="T84" s="123"/>
      <c r="U84" s="986">
        <f t="shared" si="21"/>
        <v>0</v>
      </c>
      <c r="V84" s="722"/>
      <c r="W84" s="986">
        <f t="shared" si="22"/>
        <v>0</v>
      </c>
      <c r="X84" s="722"/>
    </row>
    <row r="85" spans="1:24" ht="15.75" thickBot="1">
      <c r="A85" s="1084"/>
      <c r="B85" s="1085" t="s">
        <v>97</v>
      </c>
      <c r="C85" s="1083" t="s">
        <v>21</v>
      </c>
      <c r="D85" s="903">
        <f t="shared" si="17"/>
        <v>321.67900000000003</v>
      </c>
      <c r="E85" s="903">
        <f t="shared" si="23"/>
        <v>0</v>
      </c>
      <c r="F85" s="990"/>
      <c r="G85" s="990"/>
      <c r="H85" s="926">
        <f t="shared" si="15"/>
        <v>273.92100000000005</v>
      </c>
      <c r="I85" s="20">
        <f>76.324+88.507+109.09</f>
        <v>273.92100000000005</v>
      </c>
      <c r="J85" s="20"/>
      <c r="K85" s="932">
        <f>L85</f>
        <v>47.758000000000003</v>
      </c>
      <c r="L85" s="20">
        <f>33.219+14.539</f>
        <v>47.758000000000003</v>
      </c>
      <c r="M85" s="20"/>
      <c r="N85" s="1037">
        <f t="shared" si="18"/>
        <v>0</v>
      </c>
      <c r="O85" s="1042"/>
      <c r="P85" s="1038">
        <f t="shared" si="19"/>
        <v>0</v>
      </c>
      <c r="Q85" s="1043"/>
      <c r="R85" s="1038">
        <f t="shared" si="20"/>
        <v>0</v>
      </c>
      <c r="S85" s="1043"/>
      <c r="T85" s="1043"/>
      <c r="U85" s="986">
        <f t="shared" si="21"/>
        <v>0</v>
      </c>
      <c r="V85" s="987"/>
      <c r="W85" s="986">
        <f t="shared" si="22"/>
        <v>0</v>
      </c>
      <c r="X85" s="987"/>
    </row>
    <row r="86" spans="1:24" ht="16.5" thickTop="1" thickBot="1">
      <c r="A86" s="531" t="s">
        <v>98</v>
      </c>
      <c r="B86" s="1075" t="s">
        <v>99</v>
      </c>
      <c r="C86" s="531" t="s">
        <v>21</v>
      </c>
      <c r="D86" s="903">
        <f>D88+D90+D92</f>
        <v>110.37999999999998</v>
      </c>
      <c r="E86" s="903">
        <f t="shared" si="23"/>
        <v>0</v>
      </c>
      <c r="F86" s="558">
        <f t="shared" ref="F86:G86" si="24">F88+F90+F92</f>
        <v>0</v>
      </c>
      <c r="G86" s="558">
        <f t="shared" si="24"/>
        <v>0</v>
      </c>
      <c r="H86" s="1086">
        <f>H88+H90+H92+G86</f>
        <v>108.00299999999999</v>
      </c>
      <c r="I86" s="564">
        <f>I88+I90+I92</f>
        <v>108.00299999999999</v>
      </c>
      <c r="J86" s="564">
        <v>0</v>
      </c>
      <c r="K86" s="1086">
        <f>K88+K90+K92</f>
        <v>2.3769999999999998</v>
      </c>
      <c r="L86" s="564">
        <f>L88+L90+L92</f>
        <v>2.3769999999999998</v>
      </c>
      <c r="M86" s="564">
        <v>0</v>
      </c>
      <c r="N86" s="558">
        <f t="shared" ref="N86:X86" si="25">N88+N90+N92</f>
        <v>0</v>
      </c>
      <c r="O86" s="558">
        <f t="shared" si="25"/>
        <v>0</v>
      </c>
      <c r="P86" s="558">
        <f t="shared" si="25"/>
        <v>0</v>
      </c>
      <c r="Q86" s="558">
        <f t="shared" si="25"/>
        <v>0</v>
      </c>
      <c r="R86" s="558">
        <f t="shared" si="25"/>
        <v>0</v>
      </c>
      <c r="S86" s="558">
        <f t="shared" si="25"/>
        <v>0</v>
      </c>
      <c r="T86" s="558">
        <f t="shared" si="25"/>
        <v>0</v>
      </c>
      <c r="U86" s="775">
        <f t="shared" si="25"/>
        <v>0</v>
      </c>
      <c r="V86" s="775">
        <f t="shared" si="25"/>
        <v>0</v>
      </c>
      <c r="W86" s="775">
        <f t="shared" si="25"/>
        <v>0</v>
      </c>
      <c r="X86" s="775">
        <f t="shared" si="25"/>
        <v>0</v>
      </c>
    </row>
    <row r="87" spans="1:24" ht="16.5" thickTop="1" thickBot="1">
      <c r="A87" s="153">
        <v>20</v>
      </c>
      <c r="B87" s="221" t="s">
        <v>100</v>
      </c>
      <c r="C87" s="523" t="s">
        <v>51</v>
      </c>
      <c r="D87" s="903">
        <f>H87+K87</f>
        <v>3.5000000000000003E-2</v>
      </c>
      <c r="E87" s="903">
        <f t="shared" si="23"/>
        <v>0</v>
      </c>
      <c r="F87" s="990"/>
      <c r="G87" s="990"/>
      <c r="H87" s="1087">
        <f>0.035</f>
        <v>3.5000000000000003E-2</v>
      </c>
      <c r="I87" s="1088">
        <f>0.035</f>
        <v>3.5000000000000003E-2</v>
      </c>
      <c r="J87" s="1088"/>
      <c r="K87" s="903"/>
      <c r="L87" s="990"/>
      <c r="M87" s="990"/>
      <c r="N87" s="1038">
        <f t="shared" ref="N87:N92" si="26">O87</f>
        <v>0</v>
      </c>
      <c r="O87" s="189"/>
      <c r="P87" s="1038">
        <f t="shared" ref="P87:P92" si="27">Q87</f>
        <v>0</v>
      </c>
      <c r="Q87" s="123"/>
      <c r="R87" s="1038">
        <f t="shared" ref="R87:R92" si="28">S87+T87</f>
        <v>0</v>
      </c>
      <c r="S87" s="123"/>
      <c r="T87" s="123"/>
      <c r="U87" s="986">
        <f t="shared" ref="U87:U92" si="29">V87</f>
        <v>0</v>
      </c>
      <c r="V87" s="722"/>
      <c r="W87" s="986">
        <f t="shared" ref="W87:W92" si="30">X87</f>
        <v>0</v>
      </c>
      <c r="X87" s="722"/>
    </row>
    <row r="88" spans="1:24" ht="15.75" thickBot="1">
      <c r="A88" s="1089"/>
      <c r="B88" s="1090" t="s">
        <v>101</v>
      </c>
      <c r="C88" s="1041" t="s">
        <v>21</v>
      </c>
      <c r="D88" s="903">
        <f>H88+K88</f>
        <v>7.6180000000000003</v>
      </c>
      <c r="E88" s="903">
        <f t="shared" si="23"/>
        <v>0</v>
      </c>
      <c r="F88" s="990"/>
      <c r="G88" s="990"/>
      <c r="H88" s="1087">
        <f>7.618</f>
        <v>7.6180000000000003</v>
      </c>
      <c r="I88" s="1088">
        <f>7.618</f>
        <v>7.6180000000000003</v>
      </c>
      <c r="J88" s="1088"/>
      <c r="K88" s="903"/>
      <c r="L88" s="990"/>
      <c r="M88" s="990"/>
      <c r="N88" s="1038">
        <f t="shared" si="26"/>
        <v>0</v>
      </c>
      <c r="O88" s="1091"/>
      <c r="P88" s="1038">
        <f t="shared" si="27"/>
        <v>0</v>
      </c>
      <c r="Q88" s="1043"/>
      <c r="R88" s="1038">
        <f t="shared" si="28"/>
        <v>0</v>
      </c>
      <c r="S88" s="1043"/>
      <c r="T88" s="1043"/>
      <c r="U88" s="986">
        <f t="shared" si="29"/>
        <v>0</v>
      </c>
      <c r="V88" s="987"/>
      <c r="W88" s="986">
        <f t="shared" si="30"/>
        <v>0</v>
      </c>
      <c r="X88" s="987"/>
    </row>
    <row r="89" spans="1:24" ht="15.75" thickBot="1">
      <c r="A89" s="111">
        <v>21</v>
      </c>
      <c r="B89" s="1033" t="s">
        <v>102</v>
      </c>
      <c r="C89" s="518" t="s">
        <v>47</v>
      </c>
      <c r="D89" s="903">
        <f t="shared" ref="D89:D95" si="31">H89+K89</f>
        <v>132</v>
      </c>
      <c r="E89" s="903">
        <f t="shared" si="23"/>
        <v>0</v>
      </c>
      <c r="F89" s="990"/>
      <c r="G89" s="990"/>
      <c r="H89" s="1087">
        <f>I89</f>
        <v>127</v>
      </c>
      <c r="I89" s="1088">
        <f>2+1+4+1+1+2+3+2+2+2+3+3+1+2+2+3+3+4+2+5+79</f>
        <v>127</v>
      </c>
      <c r="J89" s="9"/>
      <c r="K89" s="1044">
        <f>5</f>
        <v>5</v>
      </c>
      <c r="L89" s="990">
        <f>5</f>
        <v>5</v>
      </c>
      <c r="M89" s="990"/>
      <c r="N89" s="1038">
        <f t="shared" si="26"/>
        <v>0</v>
      </c>
      <c r="O89" s="200"/>
      <c r="P89" s="1038">
        <f t="shared" si="27"/>
        <v>0</v>
      </c>
      <c r="Q89" s="53"/>
      <c r="R89" s="1038">
        <f t="shared" si="28"/>
        <v>0</v>
      </c>
      <c r="S89" s="53"/>
      <c r="T89" s="53"/>
      <c r="U89" s="986">
        <f t="shared" si="29"/>
        <v>0</v>
      </c>
      <c r="V89" s="694"/>
      <c r="W89" s="986">
        <f t="shared" si="30"/>
        <v>0</v>
      </c>
      <c r="X89" s="694"/>
    </row>
    <row r="90" spans="1:24" ht="15.75" thickBot="1">
      <c r="A90" s="201"/>
      <c r="B90" s="1053" t="s">
        <v>103</v>
      </c>
      <c r="C90" s="93" t="s">
        <v>21</v>
      </c>
      <c r="D90" s="903">
        <f t="shared" si="31"/>
        <v>71.35499999999999</v>
      </c>
      <c r="E90" s="903">
        <f t="shared" si="23"/>
        <v>0</v>
      </c>
      <c r="F90" s="990"/>
      <c r="G90" s="990"/>
      <c r="H90" s="1087">
        <f>I90</f>
        <v>68.977999999999994</v>
      </c>
      <c r="I90" s="1088">
        <f>0.551+0.682+1.102+0.682+1.152+0.21+0.826+0.551+0.551+0.551+2.217+2.217+1.152+2.951+1.611+1.628+1.371+2.106+1.086+1.913+43.868</f>
        <v>68.977999999999994</v>
      </c>
      <c r="J90" s="1088"/>
      <c r="K90" s="1044">
        <f>2.377</f>
        <v>2.3769999999999998</v>
      </c>
      <c r="L90" s="990">
        <f>2.377</f>
        <v>2.3769999999999998</v>
      </c>
      <c r="M90" s="990"/>
      <c r="N90" s="1038">
        <f t="shared" si="26"/>
        <v>0</v>
      </c>
      <c r="O90" s="202"/>
      <c r="P90" s="1038">
        <f t="shared" si="27"/>
        <v>0</v>
      </c>
      <c r="Q90" s="1043"/>
      <c r="R90" s="1038">
        <f t="shared" si="28"/>
        <v>0</v>
      </c>
      <c r="S90" s="1043"/>
      <c r="T90" s="1043"/>
      <c r="U90" s="986">
        <f t="shared" si="29"/>
        <v>0</v>
      </c>
      <c r="V90" s="987"/>
      <c r="W90" s="986">
        <f t="shared" si="30"/>
        <v>0</v>
      </c>
      <c r="X90" s="987"/>
    </row>
    <row r="91" spans="1:24" ht="15.75" thickBot="1">
      <c r="A91" s="115" t="s">
        <v>104</v>
      </c>
      <c r="B91" s="221" t="s">
        <v>105</v>
      </c>
      <c r="C91" s="523" t="s">
        <v>47</v>
      </c>
      <c r="D91" s="903">
        <f t="shared" si="31"/>
        <v>12</v>
      </c>
      <c r="E91" s="903">
        <f t="shared" si="23"/>
        <v>0</v>
      </c>
      <c r="F91" s="990"/>
      <c r="G91" s="990"/>
      <c r="H91" s="1087">
        <f>I91</f>
        <v>12</v>
      </c>
      <c r="I91" s="1088">
        <f>1+1+1+1+1+1+1+1+1+1+1+1</f>
        <v>12</v>
      </c>
      <c r="J91" s="1088"/>
      <c r="K91" s="903"/>
      <c r="L91" s="990"/>
      <c r="M91" s="990"/>
      <c r="N91" s="1038">
        <f t="shared" si="26"/>
        <v>0</v>
      </c>
      <c r="O91" s="122"/>
      <c r="P91" s="1038">
        <f t="shared" si="27"/>
        <v>0</v>
      </c>
      <c r="Q91" s="123"/>
      <c r="R91" s="1038">
        <f t="shared" si="28"/>
        <v>0</v>
      </c>
      <c r="S91" s="123"/>
      <c r="T91" s="123"/>
      <c r="U91" s="986">
        <f t="shared" si="29"/>
        <v>0</v>
      </c>
      <c r="V91" s="722"/>
      <c r="W91" s="986">
        <f t="shared" si="30"/>
        <v>0</v>
      </c>
      <c r="X91" s="722"/>
    </row>
    <row r="92" spans="1:24" ht="15.75" thickBot="1">
      <c r="A92" s="128"/>
      <c r="B92" s="233"/>
      <c r="C92" s="84" t="s">
        <v>21</v>
      </c>
      <c r="D92" s="903">
        <f t="shared" si="31"/>
        <v>31.407</v>
      </c>
      <c r="E92" s="903">
        <f t="shared" si="23"/>
        <v>0</v>
      </c>
      <c r="F92" s="990"/>
      <c r="G92" s="990"/>
      <c r="H92" s="1087">
        <f>I92</f>
        <v>31.407</v>
      </c>
      <c r="I92" s="1088">
        <f>3.597+2.217+3.546+1.477+3.598+2.417+2.417+2.417+5.395+1.798+1.798+0.73</f>
        <v>31.407</v>
      </c>
      <c r="J92" s="1088"/>
      <c r="K92" s="903"/>
      <c r="L92" s="990"/>
      <c r="M92" s="990"/>
      <c r="N92" s="1038">
        <f t="shared" si="26"/>
        <v>0</v>
      </c>
      <c r="O92" s="116"/>
      <c r="P92" s="1038">
        <f t="shared" si="27"/>
        <v>0</v>
      </c>
      <c r="Q92" s="1043"/>
      <c r="R92" s="1038">
        <f t="shared" si="28"/>
        <v>0</v>
      </c>
      <c r="S92" s="1043"/>
      <c r="T92" s="1043"/>
      <c r="U92" s="986">
        <f t="shared" si="29"/>
        <v>0</v>
      </c>
      <c r="V92" s="987"/>
      <c r="W92" s="986">
        <f t="shared" si="30"/>
        <v>0</v>
      </c>
      <c r="X92" s="987"/>
    </row>
    <row r="93" spans="1:24" ht="27.75" thickTop="1" thickBot="1">
      <c r="A93" s="532" t="s">
        <v>106</v>
      </c>
      <c r="B93" s="1092" t="s">
        <v>107</v>
      </c>
      <c r="C93" s="532" t="s">
        <v>21</v>
      </c>
      <c r="D93" s="903">
        <f>I93+L93</f>
        <v>435.714</v>
      </c>
      <c r="E93" s="903">
        <f t="shared" si="23"/>
        <v>0</v>
      </c>
      <c r="F93" s="563">
        <f t="shared" ref="F93:X93" si="32">F94+F95</f>
        <v>0</v>
      </c>
      <c r="G93" s="563">
        <f t="shared" si="32"/>
        <v>0</v>
      </c>
      <c r="H93" s="914">
        <f>I93</f>
        <v>405.822</v>
      </c>
      <c r="I93" s="563">
        <f>I94+I95+I96</f>
        <v>405.822</v>
      </c>
      <c r="J93" s="563">
        <f t="shared" si="32"/>
        <v>0</v>
      </c>
      <c r="K93" s="914">
        <f>K94+K95+K96</f>
        <v>29.892000000000003</v>
      </c>
      <c r="L93" s="563">
        <f>L94+L95+L96</f>
        <v>29.892000000000003</v>
      </c>
      <c r="M93" s="563">
        <v>0</v>
      </c>
      <c r="N93" s="563">
        <f t="shared" si="32"/>
        <v>0</v>
      </c>
      <c r="O93" s="563">
        <f t="shared" si="32"/>
        <v>0</v>
      </c>
      <c r="P93" s="563">
        <f t="shared" si="32"/>
        <v>0</v>
      </c>
      <c r="Q93" s="563">
        <f t="shared" si="32"/>
        <v>0</v>
      </c>
      <c r="R93" s="563">
        <f t="shared" si="32"/>
        <v>0</v>
      </c>
      <c r="S93" s="563">
        <f t="shared" si="32"/>
        <v>0</v>
      </c>
      <c r="T93" s="563">
        <f t="shared" si="32"/>
        <v>0</v>
      </c>
      <c r="U93" s="813">
        <f t="shared" si="32"/>
        <v>0</v>
      </c>
      <c r="V93" s="813">
        <f t="shared" si="32"/>
        <v>0</v>
      </c>
      <c r="W93" s="813">
        <f t="shared" si="32"/>
        <v>0</v>
      </c>
      <c r="X93" s="813">
        <f t="shared" si="32"/>
        <v>0</v>
      </c>
    </row>
    <row r="94" spans="1:24" ht="16.5" thickTop="1" thickBot="1">
      <c r="A94" s="76" t="s">
        <v>108</v>
      </c>
      <c r="B94" s="1093" t="s">
        <v>308</v>
      </c>
      <c r="C94" s="533" t="s">
        <v>21</v>
      </c>
      <c r="D94" s="903">
        <f t="shared" si="31"/>
        <v>0</v>
      </c>
      <c r="E94" s="903">
        <f t="shared" si="23"/>
        <v>0</v>
      </c>
      <c r="F94" s="990"/>
      <c r="G94" s="990"/>
      <c r="H94" s="903"/>
      <c r="I94" s="990"/>
      <c r="J94" s="990"/>
      <c r="K94" s="903"/>
      <c r="L94" s="990"/>
      <c r="M94" s="990"/>
      <c r="N94" s="1038">
        <f>O94</f>
        <v>0</v>
      </c>
      <c r="O94" s="122"/>
      <c r="P94" s="1038">
        <f>Q94</f>
        <v>0</v>
      </c>
      <c r="Q94" s="79"/>
      <c r="R94" s="1038">
        <f>S94+T94</f>
        <v>0</v>
      </c>
      <c r="S94" s="79"/>
      <c r="T94" s="79"/>
      <c r="U94" s="986">
        <f>V94</f>
        <v>0</v>
      </c>
      <c r="V94" s="686"/>
      <c r="W94" s="986">
        <f>X94</f>
        <v>0</v>
      </c>
      <c r="X94" s="686"/>
    </row>
    <row r="95" spans="1:24" ht="15.75" thickBot="1">
      <c r="A95" s="78" t="s">
        <v>109</v>
      </c>
      <c r="B95" s="1093" t="s">
        <v>309</v>
      </c>
      <c r="C95" s="521" t="s">
        <v>21</v>
      </c>
      <c r="D95" s="903">
        <f t="shared" si="31"/>
        <v>0</v>
      </c>
      <c r="E95" s="903">
        <f t="shared" si="23"/>
        <v>0</v>
      </c>
      <c r="F95" s="990"/>
      <c r="G95" s="990"/>
      <c r="H95" s="903"/>
      <c r="I95" s="990"/>
      <c r="J95" s="990"/>
      <c r="K95" s="903"/>
      <c r="L95" s="990"/>
      <c r="M95" s="990"/>
      <c r="N95" s="1038">
        <f>O95</f>
        <v>0</v>
      </c>
      <c r="O95" s="208"/>
      <c r="P95" s="1038">
        <f>Q95</f>
        <v>0</v>
      </c>
      <c r="Q95" s="79"/>
      <c r="R95" s="1038">
        <f>S95+T95</f>
        <v>0</v>
      </c>
      <c r="S95" s="79"/>
      <c r="T95" s="79"/>
      <c r="U95" s="986">
        <f>V95</f>
        <v>0</v>
      </c>
      <c r="V95" s="686"/>
      <c r="W95" s="986">
        <f>X95</f>
        <v>0</v>
      </c>
      <c r="X95" s="686"/>
    </row>
    <row r="96" spans="1:24" ht="15.75" thickBot="1">
      <c r="A96" s="78" t="s">
        <v>110</v>
      </c>
      <c r="B96" s="1093" t="s">
        <v>111</v>
      </c>
      <c r="C96" s="521" t="s">
        <v>21</v>
      </c>
      <c r="D96" s="903">
        <f>I96+L96</f>
        <v>435.714</v>
      </c>
      <c r="E96" s="903">
        <f t="shared" si="23"/>
        <v>0</v>
      </c>
      <c r="F96" s="990"/>
      <c r="G96" s="990"/>
      <c r="H96" s="1044">
        <f>I96</f>
        <v>405.822</v>
      </c>
      <c r="I96" s="990">
        <f>7.16+0.13+1.914+1.023+10.678+1.365+0.31+2.524+0.995+0.466+36.332+0.931+0.682+11.813+20.355+85.974+20+58.668+144.502</f>
        <v>405.822</v>
      </c>
      <c r="J96" s="990"/>
      <c r="K96" s="1044">
        <f>L96</f>
        <v>29.892000000000003</v>
      </c>
      <c r="L96" s="990">
        <f>1.023+6.416+3.422+2.792+16.239</f>
        <v>29.892000000000003</v>
      </c>
      <c r="M96" s="990"/>
      <c r="N96" s="1038">
        <f>O96</f>
        <v>0</v>
      </c>
      <c r="O96" s="208"/>
      <c r="P96" s="1038">
        <f>Q96</f>
        <v>0</v>
      </c>
      <c r="Q96" s="79"/>
      <c r="R96" s="1038">
        <f>S96+T96</f>
        <v>0</v>
      </c>
      <c r="S96" s="79"/>
      <c r="T96" s="79"/>
      <c r="U96" s="986">
        <f>V96</f>
        <v>0</v>
      </c>
      <c r="V96" s="686"/>
      <c r="W96" s="986">
        <f>X96</f>
        <v>0</v>
      </c>
      <c r="X96" s="686"/>
    </row>
    <row r="97" spans="1:24" ht="15.75" thickBot="1">
      <c r="A97" s="625"/>
      <c r="B97" s="1094" t="s">
        <v>112</v>
      </c>
      <c r="C97" s="627" t="s">
        <v>21</v>
      </c>
      <c r="D97" s="915">
        <f>D12+D71+D86+D93</f>
        <v>4567.4870000000001</v>
      </c>
      <c r="E97" s="903">
        <f t="shared" si="23"/>
        <v>0</v>
      </c>
      <c r="F97" s="628">
        <f t="shared" ref="F97:X97" si="33">F96+F93+F86+F71+F12</f>
        <v>0</v>
      </c>
      <c r="G97" s="628">
        <f t="shared" si="33"/>
        <v>0</v>
      </c>
      <c r="H97" s="915">
        <f>I97+J97</f>
        <v>4215.7520000000004</v>
      </c>
      <c r="I97" s="628">
        <f>I93+I86+I71+I12</f>
        <v>4086.6750000000002</v>
      </c>
      <c r="J97" s="628">
        <f>J96+J93+J86+J71+J12</f>
        <v>129.077</v>
      </c>
      <c r="K97" s="915">
        <f>L97+M97</f>
        <v>351.15099999999995</v>
      </c>
      <c r="L97" s="628">
        <f>L93+L86+L71+L12</f>
        <v>351.15099999999995</v>
      </c>
      <c r="M97" s="628"/>
      <c r="N97" s="218">
        <f t="shared" si="33"/>
        <v>0</v>
      </c>
      <c r="O97" s="218">
        <f t="shared" si="33"/>
        <v>0</v>
      </c>
      <c r="P97" s="218">
        <f t="shared" si="33"/>
        <v>0</v>
      </c>
      <c r="Q97" s="218">
        <f t="shared" si="33"/>
        <v>0</v>
      </c>
      <c r="R97" s="218">
        <f t="shared" si="33"/>
        <v>0</v>
      </c>
      <c r="S97" s="218">
        <f t="shared" si="33"/>
        <v>0</v>
      </c>
      <c r="T97" s="218">
        <f t="shared" si="33"/>
        <v>0</v>
      </c>
      <c r="U97" s="822">
        <f t="shared" si="33"/>
        <v>0</v>
      </c>
      <c r="V97" s="822">
        <f t="shared" si="33"/>
        <v>0</v>
      </c>
      <c r="W97" s="822">
        <f t="shared" si="33"/>
        <v>0</v>
      </c>
      <c r="X97" s="822">
        <f t="shared" si="33"/>
        <v>0</v>
      </c>
    </row>
    <row r="98" spans="1:24" ht="15.75" thickTop="1">
      <c r="A98" s="24"/>
      <c r="B98" s="25"/>
      <c r="C98" s="25"/>
      <c r="D98" s="917">
        <v>80648.726999999999</v>
      </c>
      <c r="E98" s="917">
        <f>80648.727-D97</f>
        <v>76081.240000000005</v>
      </c>
      <c r="F98" s="25"/>
      <c r="G98" s="25"/>
      <c r="H98" s="917"/>
      <c r="I98" s="25"/>
      <c r="J98" s="25"/>
      <c r="K98" s="917"/>
      <c r="L98" s="25"/>
      <c r="M98" s="25"/>
      <c r="N98" s="25"/>
      <c r="O98" s="25"/>
      <c r="P98" s="25"/>
      <c r="Q98" s="25"/>
      <c r="R98" s="25"/>
      <c r="S98" s="25"/>
      <c r="T98" s="25"/>
      <c r="U98" s="824"/>
      <c r="V98" s="824"/>
      <c r="W98" s="824"/>
      <c r="X98" s="824"/>
    </row>
    <row r="99" spans="1:24">
      <c r="A99" s="27"/>
      <c r="B99" s="27"/>
      <c r="C99" s="27"/>
      <c r="D99" s="918">
        <f>I50</f>
        <v>118.90900000000001</v>
      </c>
      <c r="E99" s="919"/>
      <c r="F99" s="27"/>
      <c r="G99" s="27"/>
      <c r="H99" s="919"/>
      <c r="I99" s="27">
        <f>H96-I96</f>
        <v>0</v>
      </c>
      <c r="J99" s="27">
        <f>I96+E98</f>
        <v>76487.062000000005</v>
      </c>
      <c r="K99" s="919"/>
      <c r="L99" s="27"/>
      <c r="M99" s="27">
        <f>9567.184-K97</f>
        <v>9216.0329999999994</v>
      </c>
      <c r="N99" s="27"/>
      <c r="O99" s="27"/>
      <c r="P99" s="27"/>
      <c r="Q99" s="27"/>
      <c r="R99" s="27"/>
      <c r="S99" s="27"/>
      <c r="T99" s="27"/>
      <c r="U99" s="825"/>
      <c r="V99" s="825"/>
      <c r="W99" s="825"/>
      <c r="X99" s="825"/>
    </row>
    <row r="100" spans="1:24" ht="15.75" thickBot="1">
      <c r="A100" s="1719" t="s">
        <v>113</v>
      </c>
      <c r="B100" s="1719"/>
      <c r="C100" s="1719"/>
      <c r="D100" s="1719"/>
      <c r="E100" s="1719"/>
      <c r="F100" s="1719"/>
      <c r="G100" s="1719"/>
      <c r="H100" s="1719"/>
      <c r="I100" s="1719"/>
      <c r="J100" s="1719"/>
      <c r="K100" s="1719"/>
      <c r="L100" s="1719"/>
      <c r="M100" s="1719"/>
      <c r="N100" s="1719"/>
      <c r="O100" s="1719"/>
      <c r="P100" s="1719"/>
      <c r="Q100" s="1719"/>
      <c r="R100" s="1719"/>
      <c r="S100" s="1719"/>
      <c r="T100" s="1719"/>
      <c r="U100" s="826"/>
      <c r="V100" s="826"/>
      <c r="W100" s="826"/>
      <c r="X100" s="826"/>
    </row>
    <row r="101" spans="1:24" ht="15.75" thickBot="1">
      <c r="A101" s="115" t="s">
        <v>114</v>
      </c>
      <c r="B101" s="221" t="s">
        <v>115</v>
      </c>
      <c r="C101" s="115" t="s">
        <v>47</v>
      </c>
      <c r="D101" s="1095">
        <f t="shared" ref="D101:D126" si="34">E101+H101+K101+N101+P101+R101+U101+W101</f>
        <v>0</v>
      </c>
      <c r="E101" s="1095">
        <f t="shared" ref="E101:E126" si="35">F101+G101</f>
        <v>0</v>
      </c>
      <c r="F101" s="122"/>
      <c r="G101" s="122"/>
      <c r="H101" s="1095">
        <f t="shared" ref="H101:H137" si="36">I101+J101</f>
        <v>0</v>
      </c>
      <c r="I101" s="122"/>
      <c r="J101" s="122"/>
      <c r="K101" s="1095">
        <f t="shared" ref="K101:K137" si="37">L101+M101</f>
        <v>0</v>
      </c>
      <c r="L101" s="122"/>
      <c r="M101" s="122"/>
      <c r="N101" s="1038">
        <f t="shared" ref="N101:N137" si="38">O101</f>
        <v>0</v>
      </c>
      <c r="O101" s="122"/>
      <c r="P101" s="1038">
        <f t="shared" ref="P101:P137" si="39">Q101</f>
        <v>0</v>
      </c>
      <c r="Q101" s="189"/>
      <c r="R101" s="1038">
        <f t="shared" ref="R101:R137" si="40">S101+T101</f>
        <v>0</v>
      </c>
      <c r="S101" s="136"/>
      <c r="T101" s="222"/>
      <c r="U101" s="986">
        <f t="shared" ref="U101:U137" si="41">V101</f>
        <v>0</v>
      </c>
      <c r="V101" s="735"/>
      <c r="W101" s="986">
        <f t="shared" ref="W101:W137" si="42">X101</f>
        <v>0</v>
      </c>
      <c r="X101" s="735"/>
    </row>
    <row r="102" spans="1:24" ht="15.75" thickBot="1">
      <c r="A102" s="1096"/>
      <c r="B102" s="1065" t="s">
        <v>116</v>
      </c>
      <c r="C102" s="1096" t="s">
        <v>21</v>
      </c>
      <c r="D102" s="1095">
        <f t="shared" si="34"/>
        <v>0</v>
      </c>
      <c r="E102" s="1095">
        <f t="shared" si="35"/>
        <v>0</v>
      </c>
      <c r="F102" s="122"/>
      <c r="G102" s="122"/>
      <c r="H102" s="1095">
        <f t="shared" si="36"/>
        <v>0</v>
      </c>
      <c r="I102" s="122"/>
      <c r="J102" s="122"/>
      <c r="K102" s="1095">
        <f t="shared" si="37"/>
        <v>0</v>
      </c>
      <c r="L102" s="122"/>
      <c r="M102" s="122"/>
      <c r="N102" s="1038">
        <f t="shared" si="38"/>
        <v>0</v>
      </c>
      <c r="O102" s="116"/>
      <c r="P102" s="1038">
        <f t="shared" si="39"/>
        <v>0</v>
      </c>
      <c r="Q102" s="224"/>
      <c r="R102" s="1038">
        <f t="shared" si="40"/>
        <v>0</v>
      </c>
      <c r="S102" s="1056"/>
      <c r="T102" s="225"/>
      <c r="U102" s="986">
        <f t="shared" si="41"/>
        <v>0</v>
      </c>
      <c r="V102" s="831"/>
      <c r="W102" s="986">
        <f t="shared" si="42"/>
        <v>0</v>
      </c>
      <c r="X102" s="831"/>
    </row>
    <row r="103" spans="1:24" ht="15.75" thickBot="1">
      <c r="A103" s="115" t="s">
        <v>117</v>
      </c>
      <c r="B103" s="221" t="s">
        <v>118</v>
      </c>
      <c r="C103" s="115" t="s">
        <v>47</v>
      </c>
      <c r="D103" s="1095">
        <f t="shared" si="34"/>
        <v>0</v>
      </c>
      <c r="E103" s="1095">
        <f t="shared" si="35"/>
        <v>0</v>
      </c>
      <c r="F103" s="122"/>
      <c r="G103" s="122"/>
      <c r="H103" s="1095">
        <f t="shared" si="36"/>
        <v>0</v>
      </c>
      <c r="I103" s="122"/>
      <c r="J103" s="122"/>
      <c r="K103" s="1095">
        <f t="shared" si="37"/>
        <v>0</v>
      </c>
      <c r="L103" s="122"/>
      <c r="M103" s="122"/>
      <c r="N103" s="1038">
        <f t="shared" si="38"/>
        <v>0</v>
      </c>
      <c r="O103" s="122"/>
      <c r="P103" s="1038">
        <f t="shared" si="39"/>
        <v>0</v>
      </c>
      <c r="Q103" s="191"/>
      <c r="R103" s="1038">
        <f t="shared" si="40"/>
        <v>0</v>
      </c>
      <c r="S103" s="54"/>
      <c r="T103" s="115"/>
      <c r="U103" s="986">
        <f t="shared" si="41"/>
        <v>0</v>
      </c>
      <c r="V103" s="722"/>
      <c r="W103" s="986">
        <f t="shared" si="42"/>
        <v>0</v>
      </c>
      <c r="X103" s="722"/>
    </row>
    <row r="104" spans="1:24" ht="15.75" thickBot="1">
      <c r="A104" s="1081"/>
      <c r="B104" s="1091"/>
      <c r="C104" s="1081" t="s">
        <v>21</v>
      </c>
      <c r="D104" s="1095">
        <f t="shared" si="34"/>
        <v>0</v>
      </c>
      <c r="E104" s="1095">
        <f t="shared" si="35"/>
        <v>0</v>
      </c>
      <c r="F104" s="122"/>
      <c r="G104" s="122"/>
      <c r="H104" s="1095">
        <f t="shared" si="36"/>
        <v>0</v>
      </c>
      <c r="I104" s="122"/>
      <c r="J104" s="122"/>
      <c r="K104" s="1095">
        <f t="shared" si="37"/>
        <v>0</v>
      </c>
      <c r="L104" s="122"/>
      <c r="M104" s="122"/>
      <c r="N104" s="1038">
        <f t="shared" si="38"/>
        <v>0</v>
      </c>
      <c r="O104" s="1042"/>
      <c r="P104" s="1038">
        <f t="shared" si="39"/>
        <v>0</v>
      </c>
      <c r="Q104" s="1040"/>
      <c r="R104" s="1038">
        <f t="shared" si="40"/>
        <v>0</v>
      </c>
      <c r="S104" s="1056"/>
      <c r="T104" s="1081"/>
      <c r="U104" s="986">
        <f t="shared" si="41"/>
        <v>0</v>
      </c>
      <c r="V104" s="987"/>
      <c r="W104" s="986">
        <f t="shared" si="42"/>
        <v>0</v>
      </c>
      <c r="X104" s="987"/>
    </row>
    <row r="105" spans="1:24" ht="15.75" thickBot="1">
      <c r="A105" s="115" t="s">
        <v>119</v>
      </c>
      <c r="B105" s="221" t="s">
        <v>120</v>
      </c>
      <c r="C105" s="115" t="s">
        <v>47</v>
      </c>
      <c r="D105" s="1095">
        <f t="shared" si="34"/>
        <v>0</v>
      </c>
      <c r="E105" s="1095">
        <f t="shared" si="35"/>
        <v>0</v>
      </c>
      <c r="F105" s="122"/>
      <c r="G105" s="122"/>
      <c r="H105" s="1095">
        <f t="shared" si="36"/>
        <v>0</v>
      </c>
      <c r="I105" s="122"/>
      <c r="J105" s="122"/>
      <c r="K105" s="1095">
        <f t="shared" si="37"/>
        <v>0</v>
      </c>
      <c r="L105" s="122"/>
      <c r="M105" s="122"/>
      <c r="N105" s="1038">
        <f t="shared" si="38"/>
        <v>0</v>
      </c>
      <c r="O105" s="122"/>
      <c r="P105" s="1038">
        <f t="shared" si="39"/>
        <v>0</v>
      </c>
      <c r="Q105" s="191"/>
      <c r="R105" s="1038">
        <f t="shared" si="40"/>
        <v>0</v>
      </c>
      <c r="S105" s="136"/>
      <c r="T105" s="115"/>
      <c r="U105" s="986">
        <f t="shared" si="41"/>
        <v>0</v>
      </c>
      <c r="V105" s="722"/>
      <c r="W105" s="986">
        <f t="shared" si="42"/>
        <v>0</v>
      </c>
      <c r="X105" s="722"/>
    </row>
    <row r="106" spans="1:24" ht="15.75" thickBot="1">
      <c r="A106" s="1081"/>
      <c r="B106" s="1091"/>
      <c r="C106" s="1081" t="s">
        <v>21</v>
      </c>
      <c r="D106" s="1095">
        <f t="shared" si="34"/>
        <v>0</v>
      </c>
      <c r="E106" s="1095">
        <f t="shared" si="35"/>
        <v>0</v>
      </c>
      <c r="F106" s="122"/>
      <c r="G106" s="122"/>
      <c r="H106" s="1095">
        <f t="shared" si="36"/>
        <v>0</v>
      </c>
      <c r="I106" s="122"/>
      <c r="J106" s="122"/>
      <c r="K106" s="1095">
        <f t="shared" si="37"/>
        <v>0</v>
      </c>
      <c r="L106" s="122"/>
      <c r="M106" s="122"/>
      <c r="N106" s="1038">
        <f t="shared" si="38"/>
        <v>0</v>
      </c>
      <c r="O106" s="1042"/>
      <c r="P106" s="1038">
        <f t="shared" si="39"/>
        <v>0</v>
      </c>
      <c r="Q106" s="1040"/>
      <c r="R106" s="1038">
        <f t="shared" si="40"/>
        <v>0</v>
      </c>
      <c r="S106" s="1056"/>
      <c r="T106" s="1081"/>
      <c r="U106" s="986">
        <f t="shared" si="41"/>
        <v>0</v>
      </c>
      <c r="V106" s="987"/>
      <c r="W106" s="986">
        <f t="shared" si="42"/>
        <v>0</v>
      </c>
      <c r="X106" s="987"/>
    </row>
    <row r="107" spans="1:24" ht="15.75" thickBot="1">
      <c r="A107" s="52" t="s">
        <v>121</v>
      </c>
      <c r="B107" s="227" t="s">
        <v>122</v>
      </c>
      <c r="C107" s="52" t="s">
        <v>24</v>
      </c>
      <c r="D107" s="1095">
        <f t="shared" si="34"/>
        <v>0</v>
      </c>
      <c r="E107" s="1095">
        <f t="shared" si="35"/>
        <v>0</v>
      </c>
      <c r="F107" s="122"/>
      <c r="G107" s="122"/>
      <c r="H107" s="1095">
        <f t="shared" si="36"/>
        <v>0</v>
      </c>
      <c r="I107" s="122"/>
      <c r="J107" s="122"/>
      <c r="K107" s="1095">
        <f t="shared" si="37"/>
        <v>0</v>
      </c>
      <c r="L107" s="122"/>
      <c r="M107" s="122"/>
      <c r="N107" s="1038">
        <f t="shared" si="38"/>
        <v>0</v>
      </c>
      <c r="O107" s="228"/>
      <c r="P107" s="1038">
        <f t="shared" si="39"/>
        <v>0</v>
      </c>
      <c r="Q107" s="200"/>
      <c r="R107" s="1038">
        <f t="shared" si="40"/>
        <v>0</v>
      </c>
      <c r="S107" s="54"/>
      <c r="T107" s="181"/>
      <c r="U107" s="986">
        <f t="shared" si="41"/>
        <v>0</v>
      </c>
      <c r="V107" s="782"/>
      <c r="W107" s="986">
        <f t="shared" si="42"/>
        <v>0</v>
      </c>
      <c r="X107" s="782"/>
    </row>
    <row r="108" spans="1:24" ht="15.75" thickBot="1">
      <c r="A108" s="1081"/>
      <c r="B108" s="1090" t="s">
        <v>123</v>
      </c>
      <c r="C108" s="1081" t="s">
        <v>21</v>
      </c>
      <c r="D108" s="1095">
        <f t="shared" si="34"/>
        <v>0</v>
      </c>
      <c r="E108" s="1095">
        <f t="shared" si="35"/>
        <v>0</v>
      </c>
      <c r="F108" s="122"/>
      <c r="G108" s="122"/>
      <c r="H108" s="1095">
        <f t="shared" si="36"/>
        <v>0</v>
      </c>
      <c r="I108" s="122"/>
      <c r="J108" s="122"/>
      <c r="K108" s="1095">
        <f t="shared" si="37"/>
        <v>0</v>
      </c>
      <c r="L108" s="122"/>
      <c r="M108" s="122"/>
      <c r="N108" s="1038">
        <f t="shared" si="38"/>
        <v>0</v>
      </c>
      <c r="O108" s="230"/>
      <c r="P108" s="1038">
        <f t="shared" si="39"/>
        <v>0</v>
      </c>
      <c r="Q108" s="202"/>
      <c r="R108" s="1038">
        <f t="shared" si="40"/>
        <v>0</v>
      </c>
      <c r="S108" s="231"/>
      <c r="T108" s="232"/>
      <c r="U108" s="986">
        <f t="shared" si="41"/>
        <v>0</v>
      </c>
      <c r="V108" s="837"/>
      <c r="W108" s="986">
        <f t="shared" si="42"/>
        <v>0</v>
      </c>
      <c r="X108" s="837"/>
    </row>
    <row r="109" spans="1:24" ht="15.75" thickBot="1">
      <c r="A109" s="52" t="s">
        <v>124</v>
      </c>
      <c r="B109" s="227" t="s">
        <v>125</v>
      </c>
      <c r="C109" s="52" t="s">
        <v>47</v>
      </c>
      <c r="D109" s="1095">
        <f t="shared" si="34"/>
        <v>0</v>
      </c>
      <c r="E109" s="1095">
        <f t="shared" si="35"/>
        <v>0</v>
      </c>
      <c r="F109" s="122"/>
      <c r="G109" s="122"/>
      <c r="H109" s="1095">
        <f t="shared" si="36"/>
        <v>0</v>
      </c>
      <c r="I109" s="122"/>
      <c r="J109" s="122"/>
      <c r="K109" s="1095">
        <f t="shared" si="37"/>
        <v>0</v>
      </c>
      <c r="L109" s="122"/>
      <c r="M109" s="122"/>
      <c r="N109" s="1038">
        <f t="shared" si="38"/>
        <v>0</v>
      </c>
      <c r="O109" s="122"/>
      <c r="P109" s="1038">
        <f t="shared" si="39"/>
        <v>0</v>
      </c>
      <c r="Q109" s="189"/>
      <c r="R109" s="1038">
        <f t="shared" si="40"/>
        <v>0</v>
      </c>
      <c r="S109" s="136"/>
      <c r="T109" s="222"/>
      <c r="U109" s="986">
        <f t="shared" si="41"/>
        <v>0</v>
      </c>
      <c r="V109" s="735"/>
      <c r="W109" s="986">
        <f t="shared" si="42"/>
        <v>0</v>
      </c>
      <c r="X109" s="735"/>
    </row>
    <row r="110" spans="1:24" ht="15.75" thickBot="1">
      <c r="A110" s="128"/>
      <c r="B110" s="233"/>
      <c r="C110" s="128" t="s">
        <v>21</v>
      </c>
      <c r="D110" s="1095">
        <f t="shared" si="34"/>
        <v>0</v>
      </c>
      <c r="E110" s="1095">
        <f t="shared" si="35"/>
        <v>0</v>
      </c>
      <c r="F110" s="122"/>
      <c r="G110" s="122"/>
      <c r="H110" s="1095">
        <f t="shared" si="36"/>
        <v>0</v>
      </c>
      <c r="I110" s="122"/>
      <c r="J110" s="122"/>
      <c r="K110" s="1095">
        <f t="shared" si="37"/>
        <v>0</v>
      </c>
      <c r="L110" s="122"/>
      <c r="M110" s="122"/>
      <c r="N110" s="1038">
        <f t="shared" si="38"/>
        <v>0</v>
      </c>
      <c r="O110" s="230"/>
      <c r="P110" s="1038">
        <f t="shared" si="39"/>
        <v>0</v>
      </c>
      <c r="Q110" s="202"/>
      <c r="R110" s="1038">
        <f t="shared" si="40"/>
        <v>0</v>
      </c>
      <c r="S110" s="231"/>
      <c r="T110" s="232"/>
      <c r="U110" s="986">
        <f t="shared" si="41"/>
        <v>0</v>
      </c>
      <c r="V110" s="837"/>
      <c r="W110" s="986">
        <f t="shared" si="42"/>
        <v>0</v>
      </c>
      <c r="X110" s="837"/>
    </row>
    <row r="111" spans="1:24" ht="15.75" thickBot="1">
      <c r="A111" s="115" t="s">
        <v>126</v>
      </c>
      <c r="B111" s="221" t="s">
        <v>127</v>
      </c>
      <c r="C111" s="115" t="s">
        <v>51</v>
      </c>
      <c r="D111" s="1095">
        <f t="shared" si="34"/>
        <v>0</v>
      </c>
      <c r="E111" s="1095">
        <f t="shared" si="35"/>
        <v>0</v>
      </c>
      <c r="F111" s="122"/>
      <c r="G111" s="122"/>
      <c r="H111" s="1095">
        <f t="shared" si="36"/>
        <v>0</v>
      </c>
      <c r="I111" s="122"/>
      <c r="J111" s="122"/>
      <c r="K111" s="1095">
        <f t="shared" si="37"/>
        <v>0</v>
      </c>
      <c r="L111" s="122"/>
      <c r="M111" s="122"/>
      <c r="N111" s="1038">
        <f t="shared" si="38"/>
        <v>0</v>
      </c>
      <c r="O111" s="122"/>
      <c r="P111" s="1038">
        <f t="shared" si="39"/>
        <v>0</v>
      </c>
      <c r="Q111" s="189"/>
      <c r="R111" s="1038">
        <f t="shared" si="40"/>
        <v>0</v>
      </c>
      <c r="S111" s="136"/>
      <c r="T111" s="222"/>
      <c r="U111" s="986">
        <f t="shared" si="41"/>
        <v>0</v>
      </c>
      <c r="V111" s="735"/>
      <c r="W111" s="986">
        <f t="shared" si="42"/>
        <v>0</v>
      </c>
      <c r="X111" s="735"/>
    </row>
    <row r="112" spans="1:24" ht="15.75" thickBot="1">
      <c r="A112" s="1081"/>
      <c r="B112" s="1090"/>
      <c r="C112" s="1081" t="s">
        <v>128</v>
      </c>
      <c r="D112" s="1095">
        <f t="shared" si="34"/>
        <v>0</v>
      </c>
      <c r="E112" s="1095">
        <f t="shared" si="35"/>
        <v>0</v>
      </c>
      <c r="F112" s="122"/>
      <c r="G112" s="122"/>
      <c r="H112" s="1095">
        <f t="shared" si="36"/>
        <v>0</v>
      </c>
      <c r="I112" s="122"/>
      <c r="J112" s="122"/>
      <c r="K112" s="1095">
        <f t="shared" si="37"/>
        <v>0</v>
      </c>
      <c r="L112" s="122"/>
      <c r="M112" s="122"/>
      <c r="N112" s="1038">
        <f t="shared" si="38"/>
        <v>0</v>
      </c>
      <c r="O112" s="1042"/>
      <c r="P112" s="1038">
        <f t="shared" si="39"/>
        <v>0</v>
      </c>
      <c r="Q112" s="1091"/>
      <c r="R112" s="1038">
        <f t="shared" si="40"/>
        <v>0</v>
      </c>
      <c r="S112" s="1056"/>
      <c r="T112" s="1097"/>
      <c r="U112" s="986">
        <f t="shared" si="41"/>
        <v>0</v>
      </c>
      <c r="V112" s="989"/>
      <c r="W112" s="986">
        <f t="shared" si="42"/>
        <v>0</v>
      </c>
      <c r="X112" s="989"/>
    </row>
    <row r="113" spans="1:24" ht="15.75" thickBot="1">
      <c r="A113" s="234">
        <v>7</v>
      </c>
      <c r="B113" s="227" t="s">
        <v>129</v>
      </c>
      <c r="C113" s="52" t="s">
        <v>130</v>
      </c>
      <c r="D113" s="1095">
        <f t="shared" si="34"/>
        <v>0</v>
      </c>
      <c r="E113" s="1095">
        <f t="shared" si="35"/>
        <v>0</v>
      </c>
      <c r="F113" s="122"/>
      <c r="G113" s="122"/>
      <c r="H113" s="1095">
        <f t="shared" si="36"/>
        <v>0</v>
      </c>
      <c r="I113" s="122"/>
      <c r="J113" s="122"/>
      <c r="K113" s="1095">
        <f t="shared" si="37"/>
        <v>0</v>
      </c>
      <c r="L113" s="122"/>
      <c r="M113" s="122"/>
      <c r="N113" s="1038">
        <f t="shared" si="38"/>
        <v>0</v>
      </c>
      <c r="O113" s="228"/>
      <c r="P113" s="1038">
        <f t="shared" si="39"/>
        <v>0</v>
      </c>
      <c r="Q113" s="200"/>
      <c r="R113" s="1038">
        <f t="shared" si="40"/>
        <v>0</v>
      </c>
      <c r="S113" s="54"/>
      <c r="T113" s="181"/>
      <c r="U113" s="986">
        <f t="shared" si="41"/>
        <v>0</v>
      </c>
      <c r="V113" s="782"/>
      <c r="W113" s="986">
        <f t="shared" si="42"/>
        <v>0</v>
      </c>
      <c r="X113" s="782"/>
    </row>
    <row r="114" spans="1:24" ht="15.75" thickBot="1">
      <c r="A114" s="1081"/>
      <c r="B114" s="1091"/>
      <c r="C114" s="1081" t="s">
        <v>21</v>
      </c>
      <c r="D114" s="1095">
        <f t="shared" si="34"/>
        <v>0</v>
      </c>
      <c r="E114" s="1095">
        <f t="shared" si="35"/>
        <v>0</v>
      </c>
      <c r="F114" s="122"/>
      <c r="G114" s="122"/>
      <c r="H114" s="1095">
        <f t="shared" si="36"/>
        <v>0</v>
      </c>
      <c r="I114" s="122"/>
      <c r="J114" s="122"/>
      <c r="K114" s="1095">
        <f t="shared" si="37"/>
        <v>0</v>
      </c>
      <c r="L114" s="122"/>
      <c r="M114" s="122"/>
      <c r="N114" s="1038">
        <f t="shared" si="38"/>
        <v>0</v>
      </c>
      <c r="O114" s="230"/>
      <c r="P114" s="1038">
        <f t="shared" si="39"/>
        <v>0</v>
      </c>
      <c r="Q114" s="202"/>
      <c r="R114" s="1038">
        <f t="shared" si="40"/>
        <v>0</v>
      </c>
      <c r="S114" s="231"/>
      <c r="T114" s="232"/>
      <c r="U114" s="986">
        <f t="shared" si="41"/>
        <v>0</v>
      </c>
      <c r="V114" s="837"/>
      <c r="W114" s="986">
        <f t="shared" si="42"/>
        <v>0</v>
      </c>
      <c r="X114" s="837"/>
    </row>
    <row r="115" spans="1:24" ht="15.75" thickBot="1">
      <c r="A115" s="236">
        <v>8</v>
      </c>
      <c r="B115" s="221" t="s">
        <v>131</v>
      </c>
      <c r="C115" s="115" t="s">
        <v>47</v>
      </c>
      <c r="D115" s="1095">
        <f t="shared" si="34"/>
        <v>0</v>
      </c>
      <c r="E115" s="1095">
        <f t="shared" si="35"/>
        <v>0</v>
      </c>
      <c r="F115" s="122"/>
      <c r="G115" s="122"/>
      <c r="H115" s="1095">
        <f t="shared" si="36"/>
        <v>0</v>
      </c>
      <c r="I115" s="122"/>
      <c r="J115" s="122"/>
      <c r="K115" s="1095">
        <f t="shared" si="37"/>
        <v>0</v>
      </c>
      <c r="L115" s="122"/>
      <c r="M115" s="122"/>
      <c r="N115" s="1038">
        <f t="shared" si="38"/>
        <v>0</v>
      </c>
      <c r="O115" s="122"/>
      <c r="P115" s="1038">
        <f t="shared" si="39"/>
        <v>0</v>
      </c>
      <c r="Q115" s="189"/>
      <c r="R115" s="1038">
        <f t="shared" si="40"/>
        <v>0</v>
      </c>
      <c r="S115" s="136"/>
      <c r="T115" s="222"/>
      <c r="U115" s="986">
        <f t="shared" si="41"/>
        <v>0</v>
      </c>
      <c r="V115" s="735"/>
      <c r="W115" s="986">
        <f t="shared" si="42"/>
        <v>0</v>
      </c>
      <c r="X115" s="735"/>
    </row>
    <row r="116" spans="1:24" ht="15.75" thickBot="1">
      <c r="A116" s="1085"/>
      <c r="B116" s="1090" t="s">
        <v>132</v>
      </c>
      <c r="C116" s="1081" t="s">
        <v>21</v>
      </c>
      <c r="D116" s="1095">
        <f t="shared" si="34"/>
        <v>0</v>
      </c>
      <c r="E116" s="1095">
        <f t="shared" si="35"/>
        <v>0</v>
      </c>
      <c r="F116" s="122"/>
      <c r="G116" s="122"/>
      <c r="H116" s="1095">
        <f t="shared" si="36"/>
        <v>0</v>
      </c>
      <c r="I116" s="122"/>
      <c r="J116" s="122"/>
      <c r="K116" s="1095">
        <f t="shared" si="37"/>
        <v>0</v>
      </c>
      <c r="L116" s="122"/>
      <c r="M116" s="122"/>
      <c r="N116" s="1038">
        <f t="shared" si="38"/>
        <v>0</v>
      </c>
      <c r="O116" s="230"/>
      <c r="P116" s="1038">
        <f t="shared" si="39"/>
        <v>0</v>
      </c>
      <c r="Q116" s="202"/>
      <c r="R116" s="1038">
        <f t="shared" si="40"/>
        <v>0</v>
      </c>
      <c r="S116" s="231"/>
      <c r="T116" s="232"/>
      <c r="U116" s="986">
        <f t="shared" si="41"/>
        <v>0</v>
      </c>
      <c r="V116" s="837"/>
      <c r="W116" s="986">
        <f t="shared" si="42"/>
        <v>0</v>
      </c>
      <c r="X116" s="837"/>
    </row>
    <row r="117" spans="1:24" ht="15.75" thickBot="1">
      <c r="A117" s="236">
        <v>9</v>
      </c>
      <c r="B117" s="221" t="s">
        <v>133</v>
      </c>
      <c r="C117" s="115" t="s">
        <v>134</v>
      </c>
      <c r="D117" s="1095">
        <f t="shared" si="34"/>
        <v>0</v>
      </c>
      <c r="E117" s="1095">
        <f t="shared" si="35"/>
        <v>0</v>
      </c>
      <c r="F117" s="122"/>
      <c r="G117" s="122"/>
      <c r="H117" s="1095">
        <f t="shared" si="36"/>
        <v>0</v>
      </c>
      <c r="I117" s="122"/>
      <c r="J117" s="122"/>
      <c r="K117" s="1095">
        <f t="shared" si="37"/>
        <v>0</v>
      </c>
      <c r="L117" s="122"/>
      <c r="M117" s="122"/>
      <c r="N117" s="1038">
        <f t="shared" si="38"/>
        <v>0</v>
      </c>
      <c r="O117" s="122"/>
      <c r="P117" s="1038">
        <f t="shared" si="39"/>
        <v>0</v>
      </c>
      <c r="Q117" s="189"/>
      <c r="R117" s="1038">
        <f t="shared" si="40"/>
        <v>0</v>
      </c>
      <c r="S117" s="136"/>
      <c r="T117" s="222"/>
      <c r="U117" s="986">
        <f t="shared" si="41"/>
        <v>0</v>
      </c>
      <c r="V117" s="735"/>
      <c r="W117" s="986">
        <f t="shared" si="42"/>
        <v>0</v>
      </c>
      <c r="X117" s="735"/>
    </row>
    <row r="118" spans="1:24" ht="15.75" thickBot="1">
      <c r="A118" s="1081"/>
      <c r="B118" s="1090" t="s">
        <v>135</v>
      </c>
      <c r="C118" s="1081" t="s">
        <v>21</v>
      </c>
      <c r="D118" s="1095">
        <f t="shared" si="34"/>
        <v>0</v>
      </c>
      <c r="E118" s="1095">
        <f t="shared" si="35"/>
        <v>0</v>
      </c>
      <c r="F118" s="122"/>
      <c r="G118" s="122"/>
      <c r="H118" s="1095">
        <f t="shared" si="36"/>
        <v>0</v>
      </c>
      <c r="I118" s="122"/>
      <c r="J118" s="122"/>
      <c r="K118" s="1095">
        <f t="shared" si="37"/>
        <v>0</v>
      </c>
      <c r="L118" s="122"/>
      <c r="M118" s="122"/>
      <c r="N118" s="1038">
        <f t="shared" si="38"/>
        <v>0</v>
      </c>
      <c r="O118" s="230"/>
      <c r="P118" s="1038">
        <f t="shared" si="39"/>
        <v>0</v>
      </c>
      <c r="Q118" s="202"/>
      <c r="R118" s="1038">
        <f t="shared" si="40"/>
        <v>0</v>
      </c>
      <c r="S118" s="231"/>
      <c r="T118" s="232"/>
      <c r="U118" s="986">
        <f t="shared" si="41"/>
        <v>0</v>
      </c>
      <c r="V118" s="837"/>
      <c r="W118" s="986">
        <f t="shared" si="42"/>
        <v>0</v>
      </c>
      <c r="X118" s="837"/>
    </row>
    <row r="119" spans="1:24" ht="15.75" thickBot="1">
      <c r="A119" s="115" t="s">
        <v>136</v>
      </c>
      <c r="B119" s="253" t="s">
        <v>137</v>
      </c>
      <c r="C119" s="189" t="s">
        <v>21</v>
      </c>
      <c r="D119" s="1095">
        <f t="shared" si="34"/>
        <v>0</v>
      </c>
      <c r="E119" s="1095">
        <f t="shared" si="35"/>
        <v>0</v>
      </c>
      <c r="F119" s="122"/>
      <c r="G119" s="122"/>
      <c r="H119" s="1095">
        <f t="shared" si="36"/>
        <v>0</v>
      </c>
      <c r="I119" s="122">
        <v>0</v>
      </c>
      <c r="J119" s="122"/>
      <c r="K119" s="1095">
        <f t="shared" si="37"/>
        <v>0</v>
      </c>
      <c r="L119" s="122"/>
      <c r="M119" s="122"/>
      <c r="N119" s="1038">
        <f t="shared" si="38"/>
        <v>0</v>
      </c>
      <c r="O119" s="122"/>
      <c r="P119" s="1038">
        <f t="shared" si="39"/>
        <v>0</v>
      </c>
      <c r="Q119" s="238"/>
      <c r="R119" s="1038">
        <f t="shared" si="40"/>
        <v>0</v>
      </c>
      <c r="S119" s="136"/>
      <c r="T119" s="239"/>
      <c r="U119" s="986">
        <f t="shared" si="41"/>
        <v>0</v>
      </c>
      <c r="V119" s="722"/>
      <c r="W119" s="986">
        <f t="shared" si="42"/>
        <v>0</v>
      </c>
      <c r="X119" s="722"/>
    </row>
    <row r="120" spans="1:24" ht="15.75" thickBot="1">
      <c r="A120" s="1078" t="s">
        <v>138</v>
      </c>
      <c r="B120" s="60" t="s">
        <v>139</v>
      </c>
      <c r="C120" s="52" t="s">
        <v>21</v>
      </c>
      <c r="D120" s="1095">
        <f t="shared" si="34"/>
        <v>0</v>
      </c>
      <c r="E120" s="1095">
        <f t="shared" si="35"/>
        <v>0</v>
      </c>
      <c r="F120" s="122"/>
      <c r="G120" s="122"/>
      <c r="H120" s="1095">
        <f t="shared" si="36"/>
        <v>0</v>
      </c>
      <c r="I120" s="122"/>
      <c r="J120" s="122"/>
      <c r="K120" s="1095">
        <f t="shared" si="37"/>
        <v>0</v>
      </c>
      <c r="L120" s="122"/>
      <c r="M120" s="122"/>
      <c r="N120" s="1038">
        <f t="shared" si="38"/>
        <v>0</v>
      </c>
      <c r="O120" s="228"/>
      <c r="P120" s="1038">
        <f t="shared" si="39"/>
        <v>0</v>
      </c>
      <c r="Q120" s="241"/>
      <c r="R120" s="1038">
        <f t="shared" si="40"/>
        <v>0</v>
      </c>
      <c r="S120" s="54"/>
      <c r="T120" s="228"/>
      <c r="U120" s="986">
        <f t="shared" si="41"/>
        <v>0</v>
      </c>
      <c r="V120" s="694"/>
      <c r="W120" s="986">
        <f t="shared" si="42"/>
        <v>0</v>
      </c>
      <c r="X120" s="694"/>
    </row>
    <row r="121" spans="1:24" ht="15.75" thickBot="1">
      <c r="A121" s="242" t="s">
        <v>140</v>
      </c>
      <c r="B121" s="1098" t="s">
        <v>141</v>
      </c>
      <c r="C121" s="242" t="s">
        <v>21</v>
      </c>
      <c r="D121" s="1095">
        <f t="shared" si="34"/>
        <v>0</v>
      </c>
      <c r="E121" s="1095">
        <f t="shared" si="35"/>
        <v>0</v>
      </c>
      <c r="F121" s="122"/>
      <c r="G121" s="122"/>
      <c r="H121" s="1095">
        <f t="shared" si="36"/>
        <v>0</v>
      </c>
      <c r="I121" s="122"/>
      <c r="J121" s="122"/>
      <c r="K121" s="1095">
        <f t="shared" si="37"/>
        <v>0</v>
      </c>
      <c r="L121" s="122"/>
      <c r="M121" s="122"/>
      <c r="N121" s="1038">
        <f t="shared" si="38"/>
        <v>0</v>
      </c>
      <c r="O121" s="137"/>
      <c r="P121" s="1038">
        <f t="shared" si="39"/>
        <v>0</v>
      </c>
      <c r="Q121" s="145"/>
      <c r="R121" s="1038">
        <f t="shared" si="40"/>
        <v>0</v>
      </c>
      <c r="S121" s="161"/>
      <c r="T121" s="137"/>
      <c r="U121" s="986">
        <f t="shared" si="41"/>
        <v>0</v>
      </c>
      <c r="V121" s="737"/>
      <c r="W121" s="986">
        <f t="shared" si="42"/>
        <v>0</v>
      </c>
      <c r="X121" s="737"/>
    </row>
    <row r="122" spans="1:24" ht="15.75" thickBot="1">
      <c r="A122" s="78" t="s">
        <v>142</v>
      </c>
      <c r="B122" s="1099" t="s">
        <v>143</v>
      </c>
      <c r="C122" s="78" t="s">
        <v>21</v>
      </c>
      <c r="D122" s="1095">
        <f t="shared" si="34"/>
        <v>0</v>
      </c>
      <c r="E122" s="1095">
        <f t="shared" si="35"/>
        <v>0</v>
      </c>
      <c r="F122" s="122"/>
      <c r="G122" s="122"/>
      <c r="H122" s="1095">
        <f t="shared" si="36"/>
        <v>0</v>
      </c>
      <c r="I122" s="122"/>
      <c r="J122" s="122"/>
      <c r="K122" s="1095">
        <f t="shared" si="37"/>
        <v>0</v>
      </c>
      <c r="L122" s="122"/>
      <c r="M122" s="122"/>
      <c r="N122" s="1038">
        <f t="shared" si="38"/>
        <v>0</v>
      </c>
      <c r="O122" s="208"/>
      <c r="P122" s="1038">
        <f t="shared" si="39"/>
        <v>0</v>
      </c>
      <c r="Q122" s="245"/>
      <c r="R122" s="1038">
        <f t="shared" si="40"/>
        <v>0</v>
      </c>
      <c r="S122" s="246"/>
      <c r="T122" s="208"/>
      <c r="U122" s="986">
        <f t="shared" si="41"/>
        <v>0</v>
      </c>
      <c r="V122" s="686"/>
      <c r="W122" s="986">
        <f t="shared" si="42"/>
        <v>0</v>
      </c>
      <c r="X122" s="686"/>
    </row>
    <row r="123" spans="1:24" ht="15.75" thickBot="1">
      <c r="A123" s="131">
        <v>13</v>
      </c>
      <c r="B123" s="1098" t="s">
        <v>144</v>
      </c>
      <c r="C123" s="242" t="s">
        <v>21</v>
      </c>
      <c r="D123" s="1095">
        <f t="shared" si="34"/>
        <v>0</v>
      </c>
      <c r="E123" s="1095">
        <f t="shared" si="35"/>
        <v>0</v>
      </c>
      <c r="F123" s="122"/>
      <c r="G123" s="122"/>
      <c r="H123" s="1095">
        <f t="shared" si="36"/>
        <v>0</v>
      </c>
      <c r="I123" s="122"/>
      <c r="J123" s="122"/>
      <c r="K123" s="1095">
        <f t="shared" si="37"/>
        <v>0</v>
      </c>
      <c r="L123" s="122"/>
      <c r="M123" s="122"/>
      <c r="N123" s="1038">
        <f t="shared" si="38"/>
        <v>0</v>
      </c>
      <c r="O123" s="137"/>
      <c r="P123" s="1038">
        <f t="shared" si="39"/>
        <v>0</v>
      </c>
      <c r="Q123" s="145"/>
      <c r="R123" s="1038">
        <f t="shared" si="40"/>
        <v>0</v>
      </c>
      <c r="S123" s="161"/>
      <c r="T123" s="137"/>
      <c r="U123" s="986">
        <f t="shared" si="41"/>
        <v>0</v>
      </c>
      <c r="V123" s="737"/>
      <c r="W123" s="986">
        <f t="shared" si="42"/>
        <v>0</v>
      </c>
      <c r="X123" s="737"/>
    </row>
    <row r="124" spans="1:24" ht="15.75" thickBot="1">
      <c r="A124" s="131">
        <v>14</v>
      </c>
      <c r="B124" s="1100" t="s">
        <v>145</v>
      </c>
      <c r="C124" s="242" t="s">
        <v>21</v>
      </c>
      <c r="D124" s="1095">
        <f t="shared" si="34"/>
        <v>0</v>
      </c>
      <c r="E124" s="1095">
        <f t="shared" si="35"/>
        <v>0</v>
      </c>
      <c r="F124" s="122"/>
      <c r="G124" s="122"/>
      <c r="H124" s="1095">
        <f t="shared" si="36"/>
        <v>0</v>
      </c>
      <c r="I124" s="122">
        <v>0</v>
      </c>
      <c r="J124" s="122"/>
      <c r="K124" s="1095">
        <f t="shared" si="37"/>
        <v>0</v>
      </c>
      <c r="L124" s="122"/>
      <c r="M124" s="122"/>
      <c r="N124" s="1038">
        <f t="shared" si="38"/>
        <v>0</v>
      </c>
      <c r="O124" s="137"/>
      <c r="P124" s="1038">
        <f t="shared" si="39"/>
        <v>0</v>
      </c>
      <c r="Q124" s="145"/>
      <c r="R124" s="1038">
        <f t="shared" si="40"/>
        <v>0</v>
      </c>
      <c r="S124" s="161"/>
      <c r="T124" s="137"/>
      <c r="U124" s="986">
        <f t="shared" si="41"/>
        <v>0</v>
      </c>
      <c r="V124" s="737"/>
      <c r="W124" s="986">
        <f t="shared" si="42"/>
        <v>0</v>
      </c>
      <c r="X124" s="737"/>
    </row>
    <row r="125" spans="1:24" ht="15.75" thickBot="1">
      <c r="A125" s="78" t="s">
        <v>146</v>
      </c>
      <c r="B125" s="1099" t="s">
        <v>147</v>
      </c>
      <c r="C125" s="78" t="s">
        <v>21</v>
      </c>
      <c r="D125" s="1095">
        <f t="shared" si="34"/>
        <v>0</v>
      </c>
      <c r="E125" s="1095">
        <f t="shared" si="35"/>
        <v>0</v>
      </c>
      <c r="F125" s="122"/>
      <c r="G125" s="122"/>
      <c r="H125" s="1095">
        <f t="shared" si="36"/>
        <v>0</v>
      </c>
      <c r="I125" s="122">
        <v>0</v>
      </c>
      <c r="J125" s="122"/>
      <c r="K125" s="1095">
        <f t="shared" si="37"/>
        <v>0</v>
      </c>
      <c r="L125" s="122"/>
      <c r="M125" s="122"/>
      <c r="N125" s="1038">
        <f t="shared" si="38"/>
        <v>0</v>
      </c>
      <c r="O125" s="208"/>
      <c r="P125" s="1038">
        <f t="shared" si="39"/>
        <v>0</v>
      </c>
      <c r="Q125" s="245"/>
      <c r="R125" s="1038">
        <f t="shared" si="40"/>
        <v>0</v>
      </c>
      <c r="S125" s="246"/>
      <c r="T125" s="208"/>
      <c r="U125" s="986">
        <f t="shared" si="41"/>
        <v>0</v>
      </c>
      <c r="V125" s="686"/>
      <c r="W125" s="986">
        <f t="shared" si="42"/>
        <v>0</v>
      </c>
      <c r="X125" s="686"/>
    </row>
    <row r="126" spans="1:24">
      <c r="A126" s="236">
        <v>16</v>
      </c>
      <c r="B126" s="221" t="s">
        <v>148</v>
      </c>
      <c r="C126" s="115" t="s">
        <v>21</v>
      </c>
      <c r="D126" s="1095">
        <f t="shared" si="34"/>
        <v>0</v>
      </c>
      <c r="E126" s="1095">
        <f t="shared" si="35"/>
        <v>0</v>
      </c>
      <c r="F126" s="122"/>
      <c r="G126" s="122"/>
      <c r="H126" s="1095">
        <f t="shared" si="36"/>
        <v>0</v>
      </c>
      <c r="I126" s="122">
        <v>0</v>
      </c>
      <c r="J126" s="122"/>
      <c r="K126" s="1095">
        <f t="shared" si="37"/>
        <v>0</v>
      </c>
      <c r="L126" s="122"/>
      <c r="M126" s="122"/>
      <c r="N126" s="1038">
        <f t="shared" si="38"/>
        <v>0</v>
      </c>
      <c r="O126" s="123"/>
      <c r="P126" s="1038">
        <f t="shared" si="39"/>
        <v>0</v>
      </c>
      <c r="Q126" s="248"/>
      <c r="R126" s="1038">
        <f t="shared" si="40"/>
        <v>0</v>
      </c>
      <c r="S126" s="136"/>
      <c r="T126" s="123"/>
      <c r="U126" s="986">
        <f t="shared" si="41"/>
        <v>0</v>
      </c>
      <c r="V126" s="722"/>
      <c r="W126" s="986">
        <f t="shared" si="42"/>
        <v>0</v>
      </c>
      <c r="X126" s="722"/>
    </row>
    <row r="127" spans="1:24" ht="15.75" thickBot="1">
      <c r="A127" s="1078" t="s">
        <v>149</v>
      </c>
      <c r="B127" s="1101" t="s">
        <v>150</v>
      </c>
      <c r="C127" s="1078" t="s">
        <v>128</v>
      </c>
      <c r="D127" s="1095">
        <f>D129+D131+D133+D135</f>
        <v>0</v>
      </c>
      <c r="E127" s="1095">
        <f>E129+E131+E133+E135</f>
        <v>0</v>
      </c>
      <c r="F127" s="1038">
        <f>F129+F131+F133+F135</f>
        <v>0</v>
      </c>
      <c r="G127" s="1038">
        <f>G129+G131+G133+G135</f>
        <v>0</v>
      </c>
      <c r="H127" s="1095">
        <f t="shared" si="36"/>
        <v>0</v>
      </c>
      <c r="I127" s="1038">
        <f>I129+I131+I133+I135</f>
        <v>0</v>
      </c>
      <c r="J127" s="1038">
        <f>J129+J131+J133+J135</f>
        <v>0</v>
      </c>
      <c r="K127" s="1095">
        <f t="shared" si="37"/>
        <v>0</v>
      </c>
      <c r="L127" s="1038">
        <f>L129+L131+L133+L135</f>
        <v>0</v>
      </c>
      <c r="M127" s="1038">
        <f>M129+M131+M133+M135</f>
        <v>0</v>
      </c>
      <c r="N127" s="1038">
        <f t="shared" si="38"/>
        <v>0</v>
      </c>
      <c r="O127" s="1038">
        <f>O129+O131+O133+O135</f>
        <v>0</v>
      </c>
      <c r="P127" s="1038">
        <f t="shared" si="39"/>
        <v>0</v>
      </c>
      <c r="Q127" s="1038">
        <f>Q129+Q131+Q133+Q135</f>
        <v>0</v>
      </c>
      <c r="R127" s="1038">
        <f t="shared" si="40"/>
        <v>0</v>
      </c>
      <c r="S127" s="1038">
        <f>S129+S131+S133+S135</f>
        <v>0</v>
      </c>
      <c r="T127" s="1038">
        <f>T129+T131+T133+T135</f>
        <v>0</v>
      </c>
      <c r="U127" s="986">
        <f t="shared" si="41"/>
        <v>0</v>
      </c>
      <c r="V127" s="986">
        <f>V129+V131+V133+V135</f>
        <v>0</v>
      </c>
      <c r="W127" s="986">
        <f t="shared" si="42"/>
        <v>0</v>
      </c>
      <c r="X127" s="986">
        <f>X129+X131+X133+X135</f>
        <v>0</v>
      </c>
    </row>
    <row r="128" spans="1:24" ht="15.75" thickBot="1">
      <c r="A128" s="1078" t="s">
        <v>151</v>
      </c>
      <c r="B128" s="1101" t="s">
        <v>152</v>
      </c>
      <c r="C128" s="1078" t="s">
        <v>47</v>
      </c>
      <c r="D128" s="1095">
        <f t="shared" ref="D128:D137" si="43">E128+H128+K128+N128+P128+R128+U128+W128</f>
        <v>0</v>
      </c>
      <c r="E128" s="1095">
        <f t="shared" ref="E128:E137" si="44">F128+G128</f>
        <v>0</v>
      </c>
      <c r="F128" s="122"/>
      <c r="G128" s="122"/>
      <c r="H128" s="1095">
        <f t="shared" si="36"/>
        <v>0</v>
      </c>
      <c r="I128" s="122"/>
      <c r="J128" s="122"/>
      <c r="K128" s="1095">
        <f t="shared" si="37"/>
        <v>0</v>
      </c>
      <c r="L128" s="122"/>
      <c r="M128" s="122"/>
      <c r="N128" s="1038">
        <f t="shared" si="38"/>
        <v>0</v>
      </c>
      <c r="O128" s="228"/>
      <c r="P128" s="1038">
        <f t="shared" si="39"/>
        <v>0</v>
      </c>
      <c r="Q128" s="241"/>
      <c r="R128" s="1038">
        <f t="shared" si="40"/>
        <v>0</v>
      </c>
      <c r="S128" s="54"/>
      <c r="T128" s="228"/>
      <c r="U128" s="986">
        <f t="shared" si="41"/>
        <v>0</v>
      </c>
      <c r="V128" s="694"/>
      <c r="W128" s="986">
        <f t="shared" si="42"/>
        <v>0</v>
      </c>
      <c r="X128" s="694"/>
    </row>
    <row r="129" spans="1:24" ht="15.75" thickBot="1">
      <c r="A129" s="1078"/>
      <c r="B129" s="1101"/>
      <c r="C129" s="1078" t="s">
        <v>21</v>
      </c>
      <c r="D129" s="1095">
        <f t="shared" si="43"/>
        <v>0</v>
      </c>
      <c r="E129" s="1095">
        <f t="shared" si="44"/>
        <v>0</v>
      </c>
      <c r="F129" s="122"/>
      <c r="G129" s="122"/>
      <c r="H129" s="1095">
        <f t="shared" si="36"/>
        <v>0</v>
      </c>
      <c r="I129" s="122"/>
      <c r="J129" s="122"/>
      <c r="K129" s="1095">
        <f t="shared" si="37"/>
        <v>0</v>
      </c>
      <c r="L129" s="122"/>
      <c r="M129" s="122"/>
      <c r="N129" s="1038">
        <f t="shared" si="38"/>
        <v>0</v>
      </c>
      <c r="O129" s="1079"/>
      <c r="P129" s="1038">
        <f t="shared" si="39"/>
        <v>0</v>
      </c>
      <c r="Q129" s="1102"/>
      <c r="R129" s="1038">
        <f t="shared" si="40"/>
        <v>0</v>
      </c>
      <c r="S129" s="1037"/>
      <c r="T129" s="1079"/>
      <c r="U129" s="986">
        <f t="shared" si="41"/>
        <v>0</v>
      </c>
      <c r="V129" s="986"/>
      <c r="W129" s="986">
        <f t="shared" si="42"/>
        <v>0</v>
      </c>
      <c r="X129" s="986"/>
    </row>
    <row r="130" spans="1:24" ht="15.75" thickBot="1">
      <c r="A130" s="1078" t="s">
        <v>153</v>
      </c>
      <c r="B130" s="1101" t="s">
        <v>154</v>
      </c>
      <c r="C130" s="1078" t="s">
        <v>47</v>
      </c>
      <c r="D130" s="1095">
        <f t="shared" si="43"/>
        <v>0</v>
      </c>
      <c r="E130" s="1095">
        <f t="shared" si="44"/>
        <v>0</v>
      </c>
      <c r="F130" s="122"/>
      <c r="G130" s="122"/>
      <c r="H130" s="1095">
        <f t="shared" si="36"/>
        <v>0</v>
      </c>
      <c r="I130" s="122"/>
      <c r="J130" s="122"/>
      <c r="K130" s="1095">
        <f t="shared" si="37"/>
        <v>0</v>
      </c>
      <c r="L130" s="122"/>
      <c r="M130" s="122"/>
      <c r="N130" s="1038">
        <f t="shared" si="38"/>
        <v>0</v>
      </c>
      <c r="O130" s="1079"/>
      <c r="P130" s="1038">
        <f t="shared" si="39"/>
        <v>0</v>
      </c>
      <c r="Q130" s="1102"/>
      <c r="R130" s="1038">
        <f t="shared" si="40"/>
        <v>0</v>
      </c>
      <c r="S130" s="1037"/>
      <c r="T130" s="1079"/>
      <c r="U130" s="986">
        <f t="shared" si="41"/>
        <v>0</v>
      </c>
      <c r="V130" s="986"/>
      <c r="W130" s="986">
        <f t="shared" si="42"/>
        <v>0</v>
      </c>
      <c r="X130" s="986"/>
    </row>
    <row r="131" spans="1:24" ht="15.75" thickBot="1">
      <c r="A131" s="1078"/>
      <c r="B131" s="1101"/>
      <c r="C131" s="1078" t="s">
        <v>155</v>
      </c>
      <c r="D131" s="1095">
        <f t="shared" si="43"/>
        <v>0</v>
      </c>
      <c r="E131" s="1095">
        <f t="shared" si="44"/>
        <v>0</v>
      </c>
      <c r="F131" s="122"/>
      <c r="G131" s="122"/>
      <c r="H131" s="1095">
        <f t="shared" si="36"/>
        <v>0</v>
      </c>
      <c r="I131" s="122"/>
      <c r="J131" s="122"/>
      <c r="K131" s="1095">
        <f t="shared" si="37"/>
        <v>0</v>
      </c>
      <c r="L131" s="122"/>
      <c r="M131" s="122"/>
      <c r="N131" s="1038">
        <f t="shared" si="38"/>
        <v>0</v>
      </c>
      <c r="O131" s="1079"/>
      <c r="P131" s="1038">
        <f t="shared" si="39"/>
        <v>0</v>
      </c>
      <c r="Q131" s="1102"/>
      <c r="R131" s="1038">
        <f t="shared" si="40"/>
        <v>0</v>
      </c>
      <c r="S131" s="1037"/>
      <c r="T131" s="1079"/>
      <c r="U131" s="986">
        <f t="shared" si="41"/>
        <v>0</v>
      </c>
      <c r="V131" s="986"/>
      <c r="W131" s="986">
        <f t="shared" si="42"/>
        <v>0</v>
      </c>
      <c r="X131" s="986"/>
    </row>
    <row r="132" spans="1:24" ht="15.75" thickBot="1">
      <c r="A132" s="1078" t="s">
        <v>156</v>
      </c>
      <c r="B132" s="1101" t="s">
        <v>157</v>
      </c>
      <c r="C132" s="1078" t="s">
        <v>47</v>
      </c>
      <c r="D132" s="1095">
        <f t="shared" si="43"/>
        <v>0</v>
      </c>
      <c r="E132" s="1095">
        <f t="shared" si="44"/>
        <v>0</v>
      </c>
      <c r="F132" s="122"/>
      <c r="G132" s="122"/>
      <c r="H132" s="1095">
        <f t="shared" si="36"/>
        <v>0</v>
      </c>
      <c r="I132" s="122"/>
      <c r="J132" s="122"/>
      <c r="K132" s="1095">
        <f t="shared" si="37"/>
        <v>0</v>
      </c>
      <c r="L132" s="122"/>
      <c r="M132" s="122"/>
      <c r="N132" s="1038">
        <f t="shared" si="38"/>
        <v>0</v>
      </c>
      <c r="O132" s="1079"/>
      <c r="P132" s="1038">
        <f t="shared" si="39"/>
        <v>0</v>
      </c>
      <c r="Q132" s="1102"/>
      <c r="R132" s="1038">
        <f t="shared" si="40"/>
        <v>0</v>
      </c>
      <c r="S132" s="1037"/>
      <c r="T132" s="1079"/>
      <c r="U132" s="986">
        <f t="shared" si="41"/>
        <v>0</v>
      </c>
      <c r="V132" s="986"/>
      <c r="W132" s="986">
        <f t="shared" si="42"/>
        <v>0</v>
      </c>
      <c r="X132" s="986"/>
    </row>
    <row r="133" spans="1:24" ht="15.75" thickBot="1">
      <c r="A133" s="1078"/>
      <c r="B133" s="1078" t="s">
        <v>158</v>
      </c>
      <c r="C133" s="1078" t="s">
        <v>21</v>
      </c>
      <c r="D133" s="1095">
        <f t="shared" si="43"/>
        <v>0</v>
      </c>
      <c r="E133" s="1095">
        <f t="shared" si="44"/>
        <v>0</v>
      </c>
      <c r="F133" s="122"/>
      <c r="G133" s="122"/>
      <c r="H133" s="1095">
        <f t="shared" si="36"/>
        <v>0</v>
      </c>
      <c r="I133" s="122"/>
      <c r="J133" s="122"/>
      <c r="K133" s="1095">
        <f t="shared" si="37"/>
        <v>0</v>
      </c>
      <c r="L133" s="122"/>
      <c r="M133" s="122"/>
      <c r="N133" s="1038">
        <f t="shared" si="38"/>
        <v>0</v>
      </c>
      <c r="O133" s="1079"/>
      <c r="P133" s="1038">
        <f t="shared" si="39"/>
        <v>0</v>
      </c>
      <c r="Q133" s="1102"/>
      <c r="R133" s="1038">
        <f t="shared" si="40"/>
        <v>0</v>
      </c>
      <c r="S133" s="1037"/>
      <c r="T133" s="1079"/>
      <c r="U133" s="986">
        <f t="shared" si="41"/>
        <v>0</v>
      </c>
      <c r="V133" s="986"/>
      <c r="W133" s="986">
        <f t="shared" si="42"/>
        <v>0</v>
      </c>
      <c r="X133" s="986"/>
    </row>
    <row r="134" spans="1:24" ht="15.75" thickBot="1">
      <c r="A134" s="1078" t="s">
        <v>159</v>
      </c>
      <c r="B134" s="200" t="s">
        <v>160</v>
      </c>
      <c r="C134" s="1078" t="s">
        <v>47</v>
      </c>
      <c r="D134" s="1095">
        <f t="shared" si="43"/>
        <v>0</v>
      </c>
      <c r="E134" s="1095">
        <f t="shared" si="44"/>
        <v>0</v>
      </c>
      <c r="F134" s="122"/>
      <c r="G134" s="122"/>
      <c r="H134" s="1095">
        <f t="shared" si="36"/>
        <v>0</v>
      </c>
      <c r="I134" s="122"/>
      <c r="J134" s="122"/>
      <c r="K134" s="1095">
        <f t="shared" si="37"/>
        <v>0</v>
      </c>
      <c r="L134" s="122"/>
      <c r="M134" s="122"/>
      <c r="N134" s="1038">
        <f t="shared" si="38"/>
        <v>0</v>
      </c>
      <c r="O134" s="1079"/>
      <c r="P134" s="1038">
        <f t="shared" si="39"/>
        <v>0</v>
      </c>
      <c r="Q134" s="1102"/>
      <c r="R134" s="1038">
        <f t="shared" si="40"/>
        <v>0</v>
      </c>
      <c r="S134" s="1037"/>
      <c r="T134" s="1079"/>
      <c r="U134" s="986">
        <f t="shared" si="41"/>
        <v>0</v>
      </c>
      <c r="V134" s="986"/>
      <c r="W134" s="986">
        <f t="shared" si="42"/>
        <v>0</v>
      </c>
      <c r="X134" s="986"/>
    </row>
    <row r="135" spans="1:24" ht="15.75" thickBot="1">
      <c r="A135" s="1096"/>
      <c r="B135" s="1103"/>
      <c r="C135" s="1096" t="s">
        <v>21</v>
      </c>
      <c r="D135" s="1104">
        <f t="shared" si="43"/>
        <v>0</v>
      </c>
      <c r="E135" s="1104">
        <f t="shared" si="44"/>
        <v>0</v>
      </c>
      <c r="F135" s="137"/>
      <c r="G135" s="137"/>
      <c r="H135" s="1104">
        <f t="shared" si="36"/>
        <v>0</v>
      </c>
      <c r="I135" s="137"/>
      <c r="J135" s="137"/>
      <c r="K135" s="1095">
        <f t="shared" si="37"/>
        <v>0</v>
      </c>
      <c r="L135" s="122"/>
      <c r="M135" s="122"/>
      <c r="N135" s="1038">
        <f t="shared" si="38"/>
        <v>0</v>
      </c>
      <c r="O135" s="1049"/>
      <c r="P135" s="1038">
        <f t="shared" si="39"/>
        <v>0</v>
      </c>
      <c r="Q135" s="1105"/>
      <c r="R135" s="1038">
        <f t="shared" si="40"/>
        <v>0</v>
      </c>
      <c r="S135" s="1048"/>
      <c r="T135" s="1049"/>
      <c r="U135" s="986">
        <f t="shared" si="41"/>
        <v>0</v>
      </c>
      <c r="V135" s="988"/>
      <c r="W135" s="986">
        <f t="shared" si="42"/>
        <v>0</v>
      </c>
      <c r="X135" s="988"/>
    </row>
    <row r="136" spans="1:24" ht="15.75" thickBot="1">
      <c r="A136" s="17" t="s">
        <v>161</v>
      </c>
      <c r="B136" s="17" t="s">
        <v>162</v>
      </c>
      <c r="C136" s="17" t="s">
        <v>21</v>
      </c>
      <c r="D136" s="920">
        <f t="shared" si="43"/>
        <v>0</v>
      </c>
      <c r="E136" s="920">
        <f t="shared" si="44"/>
        <v>0</v>
      </c>
      <c r="F136" s="21"/>
      <c r="G136" s="21"/>
      <c r="H136" s="920">
        <f t="shared" si="36"/>
        <v>0</v>
      </c>
      <c r="I136" s="21"/>
      <c r="J136" s="21"/>
      <c r="K136" s="1106">
        <f t="shared" si="37"/>
        <v>0</v>
      </c>
      <c r="L136" s="122"/>
      <c r="M136" s="122"/>
      <c r="N136" s="1038">
        <f t="shared" si="38"/>
        <v>0</v>
      </c>
      <c r="O136" s="115"/>
      <c r="P136" s="1038">
        <f t="shared" si="39"/>
        <v>0</v>
      </c>
      <c r="Q136" s="189"/>
      <c r="R136" s="1038">
        <f t="shared" si="40"/>
        <v>0</v>
      </c>
      <c r="S136" s="221"/>
      <c r="T136" s="115"/>
      <c r="U136" s="986">
        <f t="shared" si="41"/>
        <v>0</v>
      </c>
      <c r="V136" s="792"/>
      <c r="W136" s="986">
        <f t="shared" si="42"/>
        <v>0</v>
      </c>
      <c r="X136" s="792"/>
    </row>
    <row r="137" spans="1:24" ht="15.75" thickBot="1">
      <c r="A137" s="17" t="s">
        <v>163</v>
      </c>
      <c r="B137" s="17" t="s">
        <v>164</v>
      </c>
      <c r="C137" s="17" t="s">
        <v>21</v>
      </c>
      <c r="D137" s="920">
        <f t="shared" si="43"/>
        <v>0</v>
      </c>
      <c r="E137" s="920">
        <f t="shared" si="44"/>
        <v>0</v>
      </c>
      <c r="F137" s="21"/>
      <c r="G137" s="21"/>
      <c r="H137" s="920">
        <f t="shared" si="36"/>
        <v>0</v>
      </c>
      <c r="I137" s="21"/>
      <c r="J137" s="21"/>
      <c r="K137" s="1106">
        <f t="shared" si="37"/>
        <v>0</v>
      </c>
      <c r="L137" s="122"/>
      <c r="M137" s="122"/>
      <c r="N137" s="1038">
        <f t="shared" si="38"/>
        <v>0</v>
      </c>
      <c r="O137" s="1081"/>
      <c r="P137" s="1038">
        <f t="shared" si="39"/>
        <v>0</v>
      </c>
      <c r="Q137" s="1091"/>
      <c r="R137" s="1038">
        <f t="shared" si="40"/>
        <v>0</v>
      </c>
      <c r="S137" s="1090"/>
      <c r="T137" s="1081"/>
      <c r="U137" s="986">
        <f t="shared" si="41"/>
        <v>0</v>
      </c>
      <c r="V137" s="994"/>
      <c r="W137" s="986">
        <f t="shared" si="42"/>
        <v>0</v>
      </c>
      <c r="X137" s="994"/>
    </row>
    <row r="138" spans="1:24">
      <c r="A138" s="17" t="s">
        <v>165</v>
      </c>
      <c r="B138" s="422" t="s">
        <v>166</v>
      </c>
      <c r="C138" s="17" t="s">
        <v>47</v>
      </c>
      <c r="D138" s="920">
        <f>2358+50+1200+2</f>
        <v>3610</v>
      </c>
      <c r="E138" s="920">
        <f t="shared" ref="E138:G139" si="45">E140+E142+E144+E146+E148+E150+E152+E154</f>
        <v>0</v>
      </c>
      <c r="F138" s="618">
        <f t="shared" si="45"/>
        <v>0</v>
      </c>
      <c r="G138" s="618">
        <f t="shared" si="45"/>
        <v>0</v>
      </c>
      <c r="H138" s="920">
        <f>I138</f>
        <v>2705</v>
      </c>
      <c r="I138" s="618">
        <v>2705</v>
      </c>
      <c r="J138" s="618">
        <f>J140+J142+J144+J146+J148+J150+J152+J154</f>
        <v>0</v>
      </c>
      <c r="K138" s="905">
        <v>905</v>
      </c>
      <c r="L138" s="623">
        <v>905</v>
      </c>
      <c r="M138" s="623"/>
      <c r="N138" s="53">
        <f t="shared" ref="N138:X139" si="46">N140+N142+N144+N146+N148+N150+N152+N154</f>
        <v>0</v>
      </c>
      <c r="O138" s="53">
        <f t="shared" si="46"/>
        <v>0</v>
      </c>
      <c r="P138" s="53">
        <f t="shared" si="46"/>
        <v>0</v>
      </c>
      <c r="Q138" s="53">
        <f t="shared" si="46"/>
        <v>0</v>
      </c>
      <c r="R138" s="53">
        <f t="shared" si="46"/>
        <v>0</v>
      </c>
      <c r="S138" s="53">
        <f t="shared" si="46"/>
        <v>0</v>
      </c>
      <c r="T138" s="53">
        <f t="shared" si="46"/>
        <v>0</v>
      </c>
      <c r="U138" s="694">
        <f t="shared" si="46"/>
        <v>0</v>
      </c>
      <c r="V138" s="694">
        <f t="shared" si="46"/>
        <v>0</v>
      </c>
      <c r="W138" s="694">
        <f t="shared" si="46"/>
        <v>0</v>
      </c>
      <c r="X138" s="694">
        <f t="shared" si="46"/>
        <v>0</v>
      </c>
    </row>
    <row r="139" spans="1:24" ht="15.75" thickBot="1">
      <c r="A139" s="17"/>
      <c r="B139" s="422" t="s">
        <v>84</v>
      </c>
      <c r="C139" s="17" t="s">
        <v>21</v>
      </c>
      <c r="D139" s="920">
        <f>H139+K139</f>
        <v>42.993189999999998</v>
      </c>
      <c r="E139" s="920">
        <f t="shared" si="45"/>
        <v>0</v>
      </c>
      <c r="F139" s="618">
        <f t="shared" si="45"/>
        <v>0</v>
      </c>
      <c r="G139" s="618">
        <f t="shared" si="45"/>
        <v>0</v>
      </c>
      <c r="H139" s="920">
        <f>I139</f>
        <v>11.58559</v>
      </c>
      <c r="I139" s="618">
        <v>11.58559</v>
      </c>
      <c r="J139" s="618">
        <f>J141+J143+J145+J147+J149+J151+J153+J155</f>
        <v>0</v>
      </c>
      <c r="K139" s="905">
        <v>31.407599999999999</v>
      </c>
      <c r="L139" s="623">
        <v>31.407599999999999</v>
      </c>
      <c r="M139" s="623"/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694">
        <f t="shared" si="46"/>
        <v>0</v>
      </c>
      <c r="V139" s="694">
        <f t="shared" si="46"/>
        <v>0</v>
      </c>
      <c r="W139" s="694">
        <f t="shared" si="46"/>
        <v>0</v>
      </c>
      <c r="X139" s="694">
        <f t="shared" si="46"/>
        <v>0</v>
      </c>
    </row>
    <row r="140" spans="1:24" ht="15.75" thickBot="1">
      <c r="A140" s="17" t="s">
        <v>167</v>
      </c>
      <c r="B140" s="17" t="s">
        <v>168</v>
      </c>
      <c r="C140" s="17" t="s">
        <v>47</v>
      </c>
      <c r="D140" s="920">
        <f t="shared" ref="D140" si="47">E140+H140+K140+N140+P140+R140+U140+W140</f>
        <v>0</v>
      </c>
      <c r="E140" s="920">
        <f t="shared" ref="E140:E155" si="48">F140+G140</f>
        <v>0</v>
      </c>
      <c r="F140" s="621"/>
      <c r="G140" s="621"/>
      <c r="H140" s="931">
        <v>0</v>
      </c>
      <c r="I140" s="621"/>
      <c r="J140" s="621"/>
      <c r="K140" s="1106">
        <f t="shared" ref="K140:K155" si="49">L140+M140</f>
        <v>0</v>
      </c>
      <c r="L140" s="624"/>
      <c r="M140" s="624"/>
      <c r="N140" s="1038">
        <f t="shared" ref="N140:N155" si="50">O140</f>
        <v>0</v>
      </c>
      <c r="O140" s="1107"/>
      <c r="P140" s="1038">
        <f t="shared" ref="P140:P155" si="51">Q140</f>
        <v>0</v>
      </c>
      <c r="Q140" s="1027"/>
      <c r="R140" s="1038">
        <f t="shared" ref="R140:R155" si="52">S140+T140</f>
        <v>0</v>
      </c>
      <c r="S140" s="1037"/>
      <c r="T140" s="1038"/>
      <c r="U140" s="986">
        <f t="shared" ref="U140:U155" si="53">V140</f>
        <v>0</v>
      </c>
      <c r="V140" s="986"/>
      <c r="W140" s="986">
        <f t="shared" ref="W140:W155" si="54">X140</f>
        <v>0</v>
      </c>
      <c r="X140" s="986"/>
    </row>
    <row r="141" spans="1:24" ht="15.75" thickBot="1">
      <c r="A141" s="17"/>
      <c r="B141" s="17"/>
      <c r="C141" s="17" t="s">
        <v>21</v>
      </c>
      <c r="D141" s="920">
        <f>E141+H143+K141+N141+P141+R141+U141+W141</f>
        <v>0</v>
      </c>
      <c r="E141" s="920">
        <f t="shared" si="48"/>
        <v>0</v>
      </c>
      <c r="F141" s="621"/>
      <c r="G141" s="621"/>
      <c r="H141" s="931">
        <v>0</v>
      </c>
      <c r="I141" s="621"/>
      <c r="J141" s="621"/>
      <c r="K141" s="1106">
        <f t="shared" si="49"/>
        <v>0</v>
      </c>
      <c r="L141" s="624"/>
      <c r="M141" s="624"/>
      <c r="N141" s="1038">
        <f t="shared" si="50"/>
        <v>0</v>
      </c>
      <c r="O141" s="1107"/>
      <c r="P141" s="1038">
        <f t="shared" si="51"/>
        <v>0</v>
      </c>
      <c r="Q141" s="1027"/>
      <c r="R141" s="1038">
        <f t="shared" si="52"/>
        <v>0</v>
      </c>
      <c r="S141" s="1037"/>
      <c r="T141" s="1038"/>
      <c r="U141" s="986">
        <f t="shared" si="53"/>
        <v>0</v>
      </c>
      <c r="V141" s="986"/>
      <c r="W141" s="986">
        <f t="shared" si="54"/>
        <v>0</v>
      </c>
      <c r="X141" s="986"/>
    </row>
    <row r="142" spans="1:24" ht="15.75" thickBot="1">
      <c r="A142" s="17" t="s">
        <v>169</v>
      </c>
      <c r="B142" s="17" t="s">
        <v>170</v>
      </c>
      <c r="C142" s="17" t="s">
        <v>47</v>
      </c>
      <c r="D142" s="920">
        <f>E142+I142+K142+N142+P142+R142+U142+W142</f>
        <v>0</v>
      </c>
      <c r="E142" s="920">
        <f t="shared" si="48"/>
        <v>0</v>
      </c>
      <c r="F142" s="621"/>
      <c r="G142" s="621"/>
      <c r="H142" s="931">
        <v>0</v>
      </c>
      <c r="I142" s="621"/>
      <c r="J142" s="621"/>
      <c r="K142" s="1106">
        <f t="shared" si="49"/>
        <v>0</v>
      </c>
      <c r="L142" s="624"/>
      <c r="M142" s="624"/>
      <c r="N142" s="1038">
        <f t="shared" si="50"/>
        <v>0</v>
      </c>
      <c r="O142" s="1107"/>
      <c r="P142" s="1038">
        <f t="shared" si="51"/>
        <v>0</v>
      </c>
      <c r="Q142" s="1027"/>
      <c r="R142" s="1038">
        <f t="shared" si="52"/>
        <v>0</v>
      </c>
      <c r="S142" s="1037"/>
      <c r="T142" s="1038"/>
      <c r="U142" s="986">
        <f t="shared" si="53"/>
        <v>0</v>
      </c>
      <c r="V142" s="986"/>
      <c r="W142" s="986">
        <f t="shared" si="54"/>
        <v>0</v>
      </c>
      <c r="X142" s="986"/>
    </row>
    <row r="143" spans="1:24" ht="15.75" thickBot="1">
      <c r="A143" s="17"/>
      <c r="B143" s="17"/>
      <c r="C143" s="17" t="s">
        <v>21</v>
      </c>
      <c r="D143" s="920">
        <f>E143+I143+K143+N143+P143+R143+U143+W143</f>
        <v>0</v>
      </c>
      <c r="E143" s="920">
        <f t="shared" si="48"/>
        <v>0</v>
      </c>
      <c r="F143" s="621"/>
      <c r="G143" s="621"/>
      <c r="H143" s="931">
        <v>0</v>
      </c>
      <c r="I143" s="621"/>
      <c r="J143" s="621"/>
      <c r="K143" s="1106">
        <f t="shared" si="49"/>
        <v>0</v>
      </c>
      <c r="L143" s="624"/>
      <c r="M143" s="624"/>
      <c r="N143" s="1038">
        <f t="shared" si="50"/>
        <v>0</v>
      </c>
      <c r="O143" s="1107"/>
      <c r="P143" s="1038">
        <f t="shared" si="51"/>
        <v>0</v>
      </c>
      <c r="Q143" s="1027"/>
      <c r="R143" s="1038">
        <f t="shared" si="52"/>
        <v>0</v>
      </c>
      <c r="S143" s="1037"/>
      <c r="T143" s="1038"/>
      <c r="U143" s="986">
        <f t="shared" si="53"/>
        <v>0</v>
      </c>
      <c r="V143" s="986"/>
      <c r="W143" s="986">
        <f t="shared" si="54"/>
        <v>0</v>
      </c>
      <c r="X143" s="986"/>
    </row>
    <row r="144" spans="1:24" ht="15.75" thickBot="1">
      <c r="A144" s="17" t="s">
        <v>171</v>
      </c>
      <c r="B144" s="17" t="s">
        <v>172</v>
      </c>
      <c r="C144" s="17" t="s">
        <v>47</v>
      </c>
      <c r="D144" s="920">
        <f>E144+I144+K144+N144+P144+R144+U144+W144</f>
        <v>0</v>
      </c>
      <c r="E144" s="920">
        <f t="shared" si="48"/>
        <v>0</v>
      </c>
      <c r="F144" s="621"/>
      <c r="G144" s="621"/>
      <c r="H144" s="931">
        <v>0</v>
      </c>
      <c r="I144" s="621"/>
      <c r="J144" s="621"/>
      <c r="K144" s="1106">
        <f t="shared" si="49"/>
        <v>0</v>
      </c>
      <c r="L144" s="624"/>
      <c r="M144" s="624"/>
      <c r="N144" s="1038">
        <f t="shared" si="50"/>
        <v>0</v>
      </c>
      <c r="O144" s="1107"/>
      <c r="P144" s="1038">
        <f t="shared" si="51"/>
        <v>0</v>
      </c>
      <c r="Q144" s="1027"/>
      <c r="R144" s="1038">
        <f t="shared" si="52"/>
        <v>0</v>
      </c>
      <c r="S144" s="1037"/>
      <c r="T144" s="1038"/>
      <c r="U144" s="986">
        <f t="shared" si="53"/>
        <v>0</v>
      </c>
      <c r="V144" s="986"/>
      <c r="W144" s="986">
        <f t="shared" si="54"/>
        <v>0</v>
      </c>
      <c r="X144" s="986"/>
    </row>
    <row r="145" spans="1:24" ht="15.75" thickBot="1">
      <c r="A145" s="17"/>
      <c r="B145" s="17"/>
      <c r="C145" s="17" t="s">
        <v>21</v>
      </c>
      <c r="D145" s="920">
        <f>E145+I145+K145+N145+P145+R145+U145+W145</f>
        <v>0</v>
      </c>
      <c r="E145" s="920">
        <f t="shared" si="48"/>
        <v>0</v>
      </c>
      <c r="F145" s="621"/>
      <c r="G145" s="621"/>
      <c r="H145" s="931">
        <v>0</v>
      </c>
      <c r="I145" s="621"/>
      <c r="J145" s="621"/>
      <c r="K145" s="1106"/>
      <c r="L145" s="624"/>
      <c r="M145" s="624"/>
      <c r="N145" s="1038">
        <f t="shared" si="50"/>
        <v>0</v>
      </c>
      <c r="O145" s="1107"/>
      <c r="P145" s="1038">
        <f t="shared" si="51"/>
        <v>0</v>
      </c>
      <c r="Q145" s="1027"/>
      <c r="R145" s="1038">
        <f t="shared" si="52"/>
        <v>0</v>
      </c>
      <c r="S145" s="1037"/>
      <c r="T145" s="1038"/>
      <c r="U145" s="986">
        <f t="shared" si="53"/>
        <v>0</v>
      </c>
      <c r="V145" s="986"/>
      <c r="W145" s="986">
        <f t="shared" si="54"/>
        <v>0</v>
      </c>
      <c r="X145" s="986"/>
    </row>
    <row r="146" spans="1:24" ht="15.75" thickBot="1">
      <c r="A146" s="17" t="s">
        <v>173</v>
      </c>
      <c r="B146" s="17" t="s">
        <v>174</v>
      </c>
      <c r="C146" s="17" t="s">
        <v>47</v>
      </c>
      <c r="D146" s="920">
        <v>0</v>
      </c>
      <c r="E146" s="920">
        <f t="shared" si="48"/>
        <v>0</v>
      </c>
      <c r="F146" s="621"/>
      <c r="G146" s="621"/>
      <c r="H146" s="931">
        <v>0</v>
      </c>
      <c r="I146" s="621"/>
      <c r="J146" s="621"/>
      <c r="K146" s="1106">
        <f t="shared" si="49"/>
        <v>0</v>
      </c>
      <c r="L146" s="624"/>
      <c r="M146" s="624"/>
      <c r="N146" s="1038">
        <f t="shared" si="50"/>
        <v>0</v>
      </c>
      <c r="O146" s="1107"/>
      <c r="P146" s="1038">
        <f t="shared" si="51"/>
        <v>0</v>
      </c>
      <c r="Q146" s="1027"/>
      <c r="R146" s="1038">
        <f t="shared" si="52"/>
        <v>0</v>
      </c>
      <c r="S146" s="1037"/>
      <c r="T146" s="1038"/>
      <c r="U146" s="986">
        <f t="shared" si="53"/>
        <v>0</v>
      </c>
      <c r="V146" s="986"/>
      <c r="W146" s="986">
        <f t="shared" si="54"/>
        <v>0</v>
      </c>
      <c r="X146" s="986"/>
    </row>
    <row r="147" spans="1:24" ht="15.75" thickBot="1">
      <c r="A147" s="17"/>
      <c r="B147" s="17"/>
      <c r="C147" s="17" t="s">
        <v>21</v>
      </c>
      <c r="D147" s="920">
        <v>0</v>
      </c>
      <c r="E147" s="920">
        <f t="shared" si="48"/>
        <v>0</v>
      </c>
      <c r="F147" s="621"/>
      <c r="G147" s="621"/>
      <c r="H147" s="931">
        <v>0</v>
      </c>
      <c r="I147" s="621"/>
      <c r="J147" s="621"/>
      <c r="K147" s="1106">
        <f t="shared" si="49"/>
        <v>0</v>
      </c>
      <c r="L147" s="624"/>
      <c r="M147" s="624"/>
      <c r="N147" s="1038">
        <f t="shared" si="50"/>
        <v>0</v>
      </c>
      <c r="O147" s="1107"/>
      <c r="P147" s="1038">
        <f t="shared" si="51"/>
        <v>0</v>
      </c>
      <c r="Q147" s="1108"/>
      <c r="R147" s="1038">
        <f t="shared" si="52"/>
        <v>0</v>
      </c>
      <c r="S147" s="1048"/>
      <c r="T147" s="1050"/>
      <c r="U147" s="986">
        <f t="shared" si="53"/>
        <v>0</v>
      </c>
      <c r="V147" s="988"/>
      <c r="W147" s="986">
        <f t="shared" si="54"/>
        <v>0</v>
      </c>
      <c r="X147" s="988"/>
    </row>
    <row r="148" spans="1:24" ht="15.75" thickBot="1">
      <c r="A148" s="17" t="s">
        <v>175</v>
      </c>
      <c r="B148" s="17" t="s">
        <v>176</v>
      </c>
      <c r="C148" s="17" t="s">
        <v>47</v>
      </c>
      <c r="D148" s="920">
        <f t="shared" ref="D148:D155" si="55">E148+H148+K148+N148+P148+R148+U148+W148</f>
        <v>3610</v>
      </c>
      <c r="E148" s="920">
        <f t="shared" si="48"/>
        <v>0</v>
      </c>
      <c r="F148" s="621"/>
      <c r="G148" s="621"/>
      <c r="H148" s="931">
        <f>I148</f>
        <v>2705</v>
      </c>
      <c r="I148" s="618">
        <v>2705</v>
      </c>
      <c r="J148" s="621"/>
      <c r="K148" s="1106">
        <f>L148+M148</f>
        <v>905</v>
      </c>
      <c r="L148" s="623">
        <v>905</v>
      </c>
      <c r="M148" s="624"/>
      <c r="N148" s="1038">
        <f t="shared" si="50"/>
        <v>0</v>
      </c>
      <c r="O148" s="1107"/>
      <c r="P148" s="1038">
        <f t="shared" si="51"/>
        <v>0</v>
      </c>
      <c r="Q148" s="1027"/>
      <c r="R148" s="1038">
        <f t="shared" si="52"/>
        <v>0</v>
      </c>
      <c r="S148" s="1037"/>
      <c r="T148" s="1038"/>
      <c r="U148" s="986">
        <f t="shared" si="53"/>
        <v>0</v>
      </c>
      <c r="V148" s="986"/>
      <c r="W148" s="986">
        <f t="shared" si="54"/>
        <v>0</v>
      </c>
      <c r="X148" s="986"/>
    </row>
    <row r="149" spans="1:24" ht="15.75" thickBot="1">
      <c r="A149" s="17"/>
      <c r="B149" s="17"/>
      <c r="C149" s="17" t="s">
        <v>21</v>
      </c>
      <c r="D149" s="920">
        <f t="shared" si="55"/>
        <v>42.993189999999998</v>
      </c>
      <c r="E149" s="920">
        <f t="shared" si="48"/>
        <v>0</v>
      </c>
      <c r="F149" s="621"/>
      <c r="G149" s="621"/>
      <c r="H149" s="931">
        <f>I149</f>
        <v>11.58559</v>
      </c>
      <c r="I149" s="618">
        <v>11.58559</v>
      </c>
      <c r="J149" s="621"/>
      <c r="K149" s="1106">
        <f>L149+M149</f>
        <v>31.407599999999999</v>
      </c>
      <c r="L149" s="623">
        <v>31.407599999999999</v>
      </c>
      <c r="M149" s="624"/>
      <c r="N149" s="1038">
        <f t="shared" si="50"/>
        <v>0</v>
      </c>
      <c r="O149" s="1107"/>
      <c r="P149" s="1038">
        <f t="shared" si="51"/>
        <v>0</v>
      </c>
      <c r="Q149" s="1027"/>
      <c r="R149" s="1038">
        <f t="shared" si="52"/>
        <v>0</v>
      </c>
      <c r="S149" s="1037"/>
      <c r="T149" s="1038"/>
      <c r="U149" s="986">
        <f t="shared" si="53"/>
        <v>0</v>
      </c>
      <c r="V149" s="986"/>
      <c r="W149" s="986">
        <f t="shared" si="54"/>
        <v>0</v>
      </c>
      <c r="X149" s="986"/>
    </row>
    <row r="150" spans="1:24" ht="15.75" thickBot="1">
      <c r="A150" s="17" t="s">
        <v>177</v>
      </c>
      <c r="B150" s="17" t="s">
        <v>178</v>
      </c>
      <c r="C150" s="17" t="s">
        <v>47</v>
      </c>
      <c r="D150" s="920">
        <f t="shared" si="55"/>
        <v>0</v>
      </c>
      <c r="E150" s="920">
        <f t="shared" si="48"/>
        <v>0</v>
      </c>
      <c r="F150" s="621"/>
      <c r="G150" s="621"/>
      <c r="H150" s="931">
        <v>0</v>
      </c>
      <c r="I150" s="621"/>
      <c r="J150" s="621"/>
      <c r="K150" s="1106">
        <f t="shared" si="49"/>
        <v>0</v>
      </c>
      <c r="L150" s="624"/>
      <c r="M150" s="624"/>
      <c r="N150" s="1038">
        <f t="shared" si="50"/>
        <v>0</v>
      </c>
      <c r="O150" s="1107"/>
      <c r="P150" s="1038">
        <f t="shared" si="51"/>
        <v>0</v>
      </c>
      <c r="Q150" s="1027"/>
      <c r="R150" s="1038">
        <f t="shared" si="52"/>
        <v>0</v>
      </c>
      <c r="S150" s="1037"/>
      <c r="T150" s="1038"/>
      <c r="U150" s="986">
        <f t="shared" si="53"/>
        <v>0</v>
      </c>
      <c r="V150" s="986"/>
      <c r="W150" s="986">
        <f t="shared" si="54"/>
        <v>0</v>
      </c>
      <c r="X150" s="986"/>
    </row>
    <row r="151" spans="1:24" ht="15.75" thickBot="1">
      <c r="A151" s="17"/>
      <c r="B151" s="17"/>
      <c r="C151" s="17" t="s">
        <v>21</v>
      </c>
      <c r="D151" s="920">
        <f t="shared" si="55"/>
        <v>0</v>
      </c>
      <c r="E151" s="920">
        <f t="shared" si="48"/>
        <v>0</v>
      </c>
      <c r="F151" s="621"/>
      <c r="G151" s="621"/>
      <c r="H151" s="931">
        <v>0</v>
      </c>
      <c r="I151" s="621"/>
      <c r="J151" s="621"/>
      <c r="K151" s="1106">
        <f t="shared" si="49"/>
        <v>0</v>
      </c>
      <c r="L151" s="624"/>
      <c r="M151" s="624"/>
      <c r="N151" s="1038">
        <f t="shared" si="50"/>
        <v>0</v>
      </c>
      <c r="O151" s="1107"/>
      <c r="P151" s="1038">
        <f t="shared" si="51"/>
        <v>0</v>
      </c>
      <c r="Q151" s="1027"/>
      <c r="R151" s="1038">
        <f t="shared" si="52"/>
        <v>0</v>
      </c>
      <c r="S151" s="1037"/>
      <c r="T151" s="1038"/>
      <c r="U151" s="986">
        <f t="shared" si="53"/>
        <v>0</v>
      </c>
      <c r="V151" s="986"/>
      <c r="W151" s="986">
        <f t="shared" si="54"/>
        <v>0</v>
      </c>
      <c r="X151" s="986"/>
    </row>
    <row r="152" spans="1:24" ht="15.75" thickBot="1">
      <c r="A152" s="17" t="s">
        <v>179</v>
      </c>
      <c r="B152" s="17" t="s">
        <v>180</v>
      </c>
      <c r="C152" s="17" t="s">
        <v>47</v>
      </c>
      <c r="D152" s="920">
        <f>E152+I152+K152+N152+P152+R152+U152+W152</f>
        <v>0</v>
      </c>
      <c r="E152" s="920">
        <f t="shared" si="48"/>
        <v>0</v>
      </c>
      <c r="F152" s="621"/>
      <c r="G152" s="621"/>
      <c r="H152" s="931">
        <v>0</v>
      </c>
      <c r="I152" s="621"/>
      <c r="J152" s="621"/>
      <c r="K152" s="1106">
        <f t="shared" si="49"/>
        <v>0</v>
      </c>
      <c r="L152" s="624"/>
      <c r="M152" s="624"/>
      <c r="N152" s="1038">
        <f t="shared" si="50"/>
        <v>0</v>
      </c>
      <c r="O152" s="1107"/>
      <c r="P152" s="1038">
        <f t="shared" si="51"/>
        <v>0</v>
      </c>
      <c r="Q152" s="1027"/>
      <c r="R152" s="1038">
        <f t="shared" si="52"/>
        <v>0</v>
      </c>
      <c r="S152" s="1037"/>
      <c r="T152" s="1038"/>
      <c r="U152" s="986">
        <f t="shared" si="53"/>
        <v>0</v>
      </c>
      <c r="V152" s="986"/>
      <c r="W152" s="986">
        <f t="shared" si="54"/>
        <v>0</v>
      </c>
      <c r="X152" s="986"/>
    </row>
    <row r="153" spans="1:24" ht="15.75" thickBot="1">
      <c r="A153" s="17"/>
      <c r="B153" s="17"/>
      <c r="C153" s="17" t="s">
        <v>21</v>
      </c>
      <c r="D153" s="920">
        <f>E153+I153+K153+N153+P153+R153+U153+W153</f>
        <v>0</v>
      </c>
      <c r="E153" s="920">
        <f t="shared" si="48"/>
        <v>0</v>
      </c>
      <c r="F153" s="621"/>
      <c r="G153" s="621"/>
      <c r="H153" s="931">
        <v>0</v>
      </c>
      <c r="I153" s="621"/>
      <c r="J153" s="621"/>
      <c r="K153" s="1106">
        <f t="shared" si="49"/>
        <v>0</v>
      </c>
      <c r="L153" s="624"/>
      <c r="M153" s="624"/>
      <c r="N153" s="1038">
        <f t="shared" si="50"/>
        <v>0</v>
      </c>
      <c r="O153" s="1107"/>
      <c r="P153" s="1038">
        <f t="shared" si="51"/>
        <v>0</v>
      </c>
      <c r="Q153" s="1027"/>
      <c r="R153" s="1038">
        <f t="shared" si="52"/>
        <v>0</v>
      </c>
      <c r="S153" s="1037"/>
      <c r="T153" s="1038"/>
      <c r="U153" s="986">
        <f t="shared" si="53"/>
        <v>0</v>
      </c>
      <c r="V153" s="986"/>
      <c r="W153" s="986">
        <f t="shared" si="54"/>
        <v>0</v>
      </c>
      <c r="X153" s="986"/>
    </row>
    <row r="154" spans="1:24" ht="15.75" thickBot="1">
      <c r="A154" s="17" t="s">
        <v>181</v>
      </c>
      <c r="B154" s="17" t="s">
        <v>182</v>
      </c>
      <c r="C154" s="17" t="s">
        <v>47</v>
      </c>
      <c r="D154" s="920">
        <f t="shared" si="55"/>
        <v>0</v>
      </c>
      <c r="E154" s="920">
        <f t="shared" si="48"/>
        <v>0</v>
      </c>
      <c r="F154" s="621"/>
      <c r="G154" s="621"/>
      <c r="H154" s="931">
        <v>0</v>
      </c>
      <c r="I154" s="621"/>
      <c r="J154" s="621"/>
      <c r="K154" s="1106">
        <f t="shared" si="49"/>
        <v>0</v>
      </c>
      <c r="L154" s="624"/>
      <c r="M154" s="624"/>
      <c r="N154" s="1038">
        <f t="shared" si="50"/>
        <v>0</v>
      </c>
      <c r="O154" s="1101"/>
      <c r="P154" s="1038">
        <f t="shared" si="51"/>
        <v>0</v>
      </c>
      <c r="Q154" s="1027"/>
      <c r="R154" s="1038">
        <f t="shared" si="52"/>
        <v>0</v>
      </c>
      <c r="S154" s="1037"/>
      <c r="T154" s="1038"/>
      <c r="U154" s="986">
        <f t="shared" si="53"/>
        <v>0</v>
      </c>
      <c r="V154" s="986"/>
      <c r="W154" s="986">
        <f t="shared" si="54"/>
        <v>0</v>
      </c>
      <c r="X154" s="986"/>
    </row>
    <row r="155" spans="1:24" ht="15.75" thickBot="1">
      <c r="A155" s="17"/>
      <c r="B155" s="17"/>
      <c r="C155" s="17" t="s">
        <v>21</v>
      </c>
      <c r="D155" s="920">
        <f t="shared" si="55"/>
        <v>0</v>
      </c>
      <c r="E155" s="920">
        <f t="shared" si="48"/>
        <v>0</v>
      </c>
      <c r="F155" s="621"/>
      <c r="G155" s="621"/>
      <c r="H155" s="931">
        <v>0</v>
      </c>
      <c r="I155" s="621"/>
      <c r="J155" s="621"/>
      <c r="K155" s="1106">
        <f t="shared" si="49"/>
        <v>0</v>
      </c>
      <c r="L155" s="624"/>
      <c r="M155" s="624"/>
      <c r="N155" s="1038">
        <f t="shared" si="50"/>
        <v>0</v>
      </c>
      <c r="O155" s="1091"/>
      <c r="P155" s="1038">
        <f t="shared" si="51"/>
        <v>0</v>
      </c>
      <c r="Q155" s="1057"/>
      <c r="R155" s="1038">
        <f t="shared" si="52"/>
        <v>0</v>
      </c>
      <c r="S155" s="1056"/>
      <c r="T155" s="1043"/>
      <c r="U155" s="986">
        <f t="shared" si="53"/>
        <v>0</v>
      </c>
      <c r="V155" s="987"/>
      <c r="W155" s="986">
        <f t="shared" si="54"/>
        <v>0</v>
      </c>
      <c r="X155" s="987"/>
    </row>
    <row r="156" spans="1:24">
      <c r="A156" s="865" t="s">
        <v>211</v>
      </c>
      <c r="B156" s="865"/>
      <c r="C156" s="865"/>
      <c r="D156" s="884"/>
      <c r="E156" s="884"/>
      <c r="F156" s="866"/>
      <c r="G156" s="866"/>
      <c r="H156" s="885"/>
      <c r="I156" s="866"/>
      <c r="J156" s="866"/>
      <c r="K156" s="885"/>
      <c r="L156" s="866"/>
      <c r="M156" s="866"/>
      <c r="N156" s="866"/>
      <c r="O156" s="866"/>
      <c r="P156" s="866"/>
      <c r="Q156" s="866"/>
      <c r="R156" s="866"/>
      <c r="S156" s="866"/>
      <c r="T156" s="866"/>
      <c r="U156" s="866"/>
      <c r="V156" s="866"/>
      <c r="W156" s="866"/>
      <c r="X156" s="866"/>
    </row>
    <row r="157" spans="1:24">
      <c r="A157" s="1720" t="s">
        <v>212</v>
      </c>
      <c r="B157" s="1720"/>
      <c r="C157" s="1720"/>
      <c r="D157" s="1720"/>
      <c r="E157" s="1720"/>
      <c r="F157" s="1720"/>
      <c r="G157" s="1720"/>
      <c r="H157" s="1720"/>
      <c r="I157" s="1720"/>
      <c r="J157" s="1720"/>
      <c r="K157" s="885"/>
      <c r="L157" s="866"/>
      <c r="M157" s="866"/>
      <c r="N157" s="866"/>
      <c r="O157" s="866"/>
      <c r="P157" s="866"/>
      <c r="Q157" s="866"/>
      <c r="R157" s="866"/>
      <c r="S157" s="866"/>
      <c r="T157" s="866"/>
      <c r="U157" s="866"/>
      <c r="V157" s="866"/>
      <c r="W157" s="866"/>
      <c r="X157" s="866"/>
    </row>
    <row r="158" spans="1:24">
      <c r="A158" s="867"/>
      <c r="B158" s="866"/>
      <c r="C158" s="866"/>
      <c r="D158" s="885"/>
      <c r="E158" s="885"/>
      <c r="F158" s="866"/>
      <c r="G158" s="866"/>
      <c r="H158" s="885"/>
      <c r="I158" s="866"/>
      <c r="J158" s="866"/>
      <c r="K158" s="885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</row>
    <row r="159" spans="1:24">
      <c r="A159" s="865" t="s">
        <v>213</v>
      </c>
      <c r="B159" s="865"/>
      <c r="C159" s="865"/>
      <c r="D159" s="884"/>
      <c r="E159" s="884"/>
      <c r="F159" s="866"/>
      <c r="G159" s="866"/>
      <c r="H159" s="885"/>
      <c r="I159" s="866"/>
      <c r="J159" s="866"/>
      <c r="K159" s="885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</row>
  </sheetData>
  <mergeCells count="27">
    <mergeCell ref="I1:K1"/>
    <mergeCell ref="T1:X1"/>
    <mergeCell ref="I2:K2"/>
    <mergeCell ref="T2:X2"/>
    <mergeCell ref="I3:K3"/>
    <mergeCell ref="T3:X3"/>
    <mergeCell ref="I4:K4"/>
    <mergeCell ref="T4:X4"/>
    <mergeCell ref="I5:M5"/>
    <mergeCell ref="T5:X5"/>
    <mergeCell ref="A6:M6"/>
    <mergeCell ref="W9:X10"/>
    <mergeCell ref="E10:G10"/>
    <mergeCell ref="H10:J10"/>
    <mergeCell ref="K10:M10"/>
    <mergeCell ref="N10:O10"/>
    <mergeCell ref="P10:Q10"/>
    <mergeCell ref="E9:Q9"/>
    <mergeCell ref="A13:A15"/>
    <mergeCell ref="A100:T100"/>
    <mergeCell ref="A157:J157"/>
    <mergeCell ref="R9:T10"/>
    <mergeCell ref="U9:V10"/>
    <mergeCell ref="A9:A11"/>
    <mergeCell ref="B9:B11"/>
    <mergeCell ref="C9:C11"/>
    <mergeCell ref="D9:D1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K156"/>
  <sheetViews>
    <sheetView view="pageBreakPreview" topLeftCell="A13" zoomScale="166" zoomScaleSheetLayoutView="166" workbookViewId="0">
      <pane xSplit="3" ySplit="2" topLeftCell="D15" activePane="bottomRight" state="frozen"/>
      <selection activeCell="A13" sqref="A13"/>
      <selection pane="topRight" activeCell="D13" sqref="D13"/>
      <selection pane="bottomLeft" activeCell="A15" sqref="A15"/>
      <selection pane="bottomRight" activeCell="A13" sqref="A13:I22"/>
    </sheetView>
  </sheetViews>
  <sheetFormatPr defaultColWidth="8.85546875" defaultRowHeight="12.75"/>
  <cols>
    <col min="1" max="1" width="3.7109375" style="268" customWidth="1"/>
    <col min="2" max="2" width="47.7109375" style="268" customWidth="1"/>
    <col min="3" max="3" width="6.28515625" style="268" customWidth="1"/>
    <col min="4" max="4" width="12.85546875" style="355" customWidth="1"/>
    <col min="5" max="5" width="8.28515625" style="355" customWidth="1"/>
    <col min="6" max="6" width="7.7109375" style="574" customWidth="1"/>
    <col min="7" max="7" width="7.5703125" style="574" customWidth="1"/>
    <col min="8" max="8" width="7.7109375" style="290" customWidth="1"/>
    <col min="9" max="9" width="7.5703125" style="290" customWidth="1"/>
    <col min="10" max="16384" width="8.85546875" style="268"/>
  </cols>
  <sheetData>
    <row r="1" spans="1:10" ht="18.75" customHeight="1">
      <c r="E1" s="1762" t="s">
        <v>184</v>
      </c>
      <c r="F1" s="1762"/>
      <c r="G1" s="1762"/>
      <c r="H1" s="1762"/>
      <c r="I1" s="1762"/>
    </row>
    <row r="2" spans="1:10" ht="18.75" customHeight="1">
      <c r="E2" s="1762" t="s">
        <v>185</v>
      </c>
      <c r="F2" s="1762"/>
      <c r="G2" s="1762"/>
      <c r="H2" s="1762"/>
      <c r="I2" s="1762"/>
    </row>
    <row r="3" spans="1:10" ht="18.75" customHeight="1">
      <c r="E3" s="1762" t="s">
        <v>186</v>
      </c>
      <c r="F3" s="1762"/>
      <c r="G3" s="1762"/>
      <c r="H3" s="1762"/>
      <c r="I3" s="1762"/>
    </row>
    <row r="4" spans="1:10" ht="18.75" customHeight="1">
      <c r="E4" s="1762" t="s">
        <v>187</v>
      </c>
      <c r="F4" s="1762"/>
      <c r="G4" s="1762"/>
      <c r="H4" s="1762"/>
      <c r="I4" s="1762"/>
    </row>
    <row r="5" spans="1:10" ht="28.5" customHeight="1">
      <c r="E5" s="1762" t="s">
        <v>210</v>
      </c>
      <c r="F5" s="1762"/>
      <c r="G5" s="1762"/>
      <c r="H5" s="1762"/>
      <c r="I5" s="1762"/>
    </row>
    <row r="8" spans="1:10">
      <c r="A8" s="1758"/>
      <c r="B8" s="1758"/>
      <c r="D8" s="269"/>
      <c r="E8" s="269"/>
      <c r="F8" s="565"/>
      <c r="G8" s="565"/>
      <c r="H8" s="566" t="s">
        <v>214</v>
      </c>
      <c r="I8" s="566"/>
    </row>
    <row r="9" spans="1:10">
      <c r="A9" s="1758"/>
      <c r="B9" s="1758"/>
      <c r="D9" s="269"/>
      <c r="E9" s="269"/>
      <c r="F9" s="565"/>
      <c r="G9" s="565"/>
      <c r="H9" s="567"/>
      <c r="I9" s="567"/>
    </row>
    <row r="10" spans="1:10">
      <c r="A10" s="1759"/>
      <c r="B10" s="1759"/>
      <c r="D10" s="269"/>
      <c r="E10" s="269"/>
      <c r="F10" s="565"/>
      <c r="G10" s="565"/>
      <c r="H10" s="567"/>
      <c r="I10" s="567"/>
    </row>
    <row r="11" spans="1:10" s="356" customFormat="1" ht="15.75">
      <c r="A11" s="1872" t="s">
        <v>297</v>
      </c>
      <c r="B11" s="1872"/>
      <c r="C11" s="1872"/>
      <c r="D11" s="1872"/>
      <c r="E11" s="1872"/>
      <c r="F11" s="1872"/>
      <c r="G11" s="1872"/>
      <c r="H11" s="1872"/>
      <c r="I11" s="1872"/>
    </row>
    <row r="12" spans="1:10" ht="13.5" thickBot="1">
      <c r="A12" s="270"/>
      <c r="B12" s="1873" t="s">
        <v>298</v>
      </c>
      <c r="C12" s="1873"/>
      <c r="D12" s="1873"/>
      <c r="E12" s="1873"/>
      <c r="F12" s="1873"/>
      <c r="G12" s="1873"/>
      <c r="H12" s="567"/>
      <c r="I12" s="567"/>
    </row>
    <row r="13" spans="1:10" ht="79.5" thickBot="1">
      <c r="A13" s="271" t="s">
        <v>1</v>
      </c>
      <c r="B13" s="272" t="s">
        <v>2</v>
      </c>
      <c r="C13" s="272" t="s">
        <v>3</v>
      </c>
      <c r="D13" s="273" t="s">
        <v>215</v>
      </c>
      <c r="E13" s="274" t="s">
        <v>300</v>
      </c>
      <c r="F13" s="275" t="s">
        <v>193</v>
      </c>
      <c r="G13" s="1874" t="s">
        <v>216</v>
      </c>
      <c r="H13" s="1875"/>
      <c r="I13" s="1876"/>
    </row>
    <row r="14" spans="1:10" ht="16.5" thickBot="1">
      <c r="A14" s="276"/>
      <c r="B14" s="277"/>
      <c r="C14" s="277"/>
      <c r="D14" s="278"/>
      <c r="E14" s="279"/>
      <c r="F14" s="280"/>
      <c r="G14" s="568" t="s">
        <v>14</v>
      </c>
      <c r="H14" s="569" t="s">
        <v>15</v>
      </c>
      <c r="I14" s="569" t="s">
        <v>16</v>
      </c>
    </row>
    <row r="15" spans="1:10" ht="15.75" thickBot="1">
      <c r="A15" s="281" t="s">
        <v>19</v>
      </c>
      <c r="B15" s="282" t="s">
        <v>20</v>
      </c>
      <c r="C15" s="283" t="s">
        <v>21</v>
      </c>
      <c r="D15" s="284">
        <v>57372.765899999999</v>
      </c>
      <c r="E15" s="604">
        <f>G15</f>
        <v>5502.3209999999999</v>
      </c>
      <c r="F15" s="570">
        <f>E15/D15*100</f>
        <v>9.5904754001061665</v>
      </c>
      <c r="G15" s="570">
        <f>H15+I15</f>
        <v>5502.3209999999999</v>
      </c>
      <c r="H15" s="570">
        <f>'6 месяцев'!I13+'6 месяцев'!L13+'июль (2)'!I13+'июль (2)'!L13</f>
        <v>4790.2449999999999</v>
      </c>
      <c r="I15" s="570">
        <f>'6 месяцев'!J13+'6 месяцев'!M13+'июль (2)'!J13+'июль (2)'!M13</f>
        <v>712.07600000000002</v>
      </c>
    </row>
    <row r="16" spans="1:10" s="287" customFormat="1" ht="45.75" thickBot="1">
      <c r="A16" s="1877">
        <v>1</v>
      </c>
      <c r="B16" s="602" t="s">
        <v>22</v>
      </c>
      <c r="C16" s="285" t="s">
        <v>33</v>
      </c>
      <c r="D16" s="286">
        <v>78</v>
      </c>
      <c r="E16" s="570">
        <f t="shared" ref="E16:E79" si="0">G16</f>
        <v>49</v>
      </c>
      <c r="F16" s="570">
        <f t="shared" ref="F16:F79" si="1">E16/D16*100</f>
        <v>62.820512820512818</v>
      </c>
      <c r="G16" s="570">
        <f t="shared" ref="G16:G79" si="2">H16+I16</f>
        <v>49</v>
      </c>
      <c r="H16" s="570">
        <f>'6 месяцев'!I14+'6 месяцев'!L14+'июль (2)'!I14+'июль (2)'!L14</f>
        <v>49</v>
      </c>
      <c r="I16" s="570">
        <f>'6 месяцев'!J14+'6 месяцев'!M14+'июль (2)'!J14+'июль (2)'!M14</f>
        <v>0</v>
      </c>
      <c r="J16" s="268"/>
    </row>
    <row r="17" spans="1:10" s="290" customFormat="1" ht="15.75" thickBot="1">
      <c r="A17" s="1878"/>
      <c r="B17" s="601"/>
      <c r="C17" s="288" t="s">
        <v>24</v>
      </c>
      <c r="D17" s="289">
        <v>3.9447000000000001</v>
      </c>
      <c r="E17" s="605">
        <f t="shared" si="0"/>
        <v>0.26543</v>
      </c>
      <c r="F17" s="570">
        <f t="shared" si="1"/>
        <v>6.728775318782164</v>
      </c>
      <c r="G17" s="570">
        <f t="shared" si="2"/>
        <v>0.26543</v>
      </c>
      <c r="H17" s="570">
        <f>'6 месяцев'!I15+'6 месяцев'!L15+'июль (2)'!I15+'июль (2)'!L15</f>
        <v>0.26543</v>
      </c>
      <c r="I17" s="570">
        <f>'6 месяцев'!J15+'6 месяцев'!M15+'июль (2)'!J15+'июль (2)'!M15</f>
        <v>0</v>
      </c>
      <c r="J17" s="268"/>
    </row>
    <row r="18" spans="1:10" s="290" customFormat="1" ht="15.75" thickBot="1">
      <c r="A18" s="1879"/>
      <c r="B18" s="291" t="s">
        <v>25</v>
      </c>
      <c r="C18" s="288" t="s">
        <v>21</v>
      </c>
      <c r="D18" s="289">
        <v>1927.7079999999996</v>
      </c>
      <c r="E18" s="605">
        <f t="shared" si="0"/>
        <v>294.39000000000004</v>
      </c>
      <c r="F18" s="570">
        <f t="shared" si="1"/>
        <v>15.271503775468073</v>
      </c>
      <c r="G18" s="570">
        <f t="shared" si="2"/>
        <v>294.39000000000004</v>
      </c>
      <c r="H18" s="570">
        <f>'6 месяцев'!I16+'6 месяцев'!L16+'июль (2)'!I16+'июль (2)'!L16</f>
        <v>294.39000000000004</v>
      </c>
      <c r="I18" s="570">
        <f>'6 месяцев'!J16+'6 месяцев'!M16+'июль (2)'!J16+'июль (2)'!M16</f>
        <v>0</v>
      </c>
      <c r="J18" s="268"/>
    </row>
    <row r="19" spans="1:10" s="290" customFormat="1" ht="15.75" thickBot="1">
      <c r="A19" s="1834" t="s">
        <v>26</v>
      </c>
      <c r="B19" s="1836" t="s">
        <v>27</v>
      </c>
      <c r="C19" s="292" t="s">
        <v>24</v>
      </c>
      <c r="D19" s="293">
        <v>1.4177</v>
      </c>
      <c r="E19" s="570">
        <f t="shared" si="0"/>
        <v>8.7600000000000011E-2</v>
      </c>
      <c r="F19" s="570">
        <f t="shared" si="1"/>
        <v>6.1790223601608245</v>
      </c>
      <c r="G19" s="570">
        <f t="shared" si="2"/>
        <v>8.7600000000000011E-2</v>
      </c>
      <c r="H19" s="570">
        <f>'6 месяцев'!I17+'6 месяцев'!L17+'июль (2)'!I17+'июль (2)'!L17</f>
        <v>8.7600000000000011E-2</v>
      </c>
      <c r="I19" s="570">
        <f>'6 месяцев'!J17+'6 месяцев'!M17+'июль (2)'!J17+'июль (2)'!M17</f>
        <v>0</v>
      </c>
      <c r="J19" s="268"/>
    </row>
    <row r="20" spans="1:10" s="290" customFormat="1" ht="15.75" thickBot="1">
      <c r="A20" s="1834"/>
      <c r="B20" s="1836"/>
      <c r="C20" s="292" t="s">
        <v>21</v>
      </c>
      <c r="D20" s="293">
        <v>411.50799999999987</v>
      </c>
      <c r="E20" s="570">
        <f t="shared" si="0"/>
        <v>215.32800000000003</v>
      </c>
      <c r="F20" s="570">
        <f t="shared" si="1"/>
        <v>52.32656473264192</v>
      </c>
      <c r="G20" s="570">
        <f t="shared" si="2"/>
        <v>215.32800000000003</v>
      </c>
      <c r="H20" s="570">
        <f>'6 месяцев'!I18+'6 месяцев'!L18+'июль (2)'!I18+'июль (2)'!L18</f>
        <v>215.32800000000003</v>
      </c>
      <c r="I20" s="570">
        <f>'6 месяцев'!J18+'6 месяцев'!M18+'июль (2)'!J18+'июль (2)'!M18</f>
        <v>0</v>
      </c>
      <c r="J20" s="268"/>
    </row>
    <row r="21" spans="1:10" s="290" customFormat="1" ht="15.75" thickBot="1">
      <c r="A21" s="1847" t="s">
        <v>28</v>
      </c>
      <c r="B21" s="1836" t="s">
        <v>29</v>
      </c>
      <c r="C21" s="292" t="s">
        <v>24</v>
      </c>
      <c r="D21" s="293">
        <v>2.5270000000000001</v>
      </c>
      <c r="E21" s="570">
        <f t="shared" si="0"/>
        <v>0.17782999999999999</v>
      </c>
      <c r="F21" s="570">
        <f t="shared" si="1"/>
        <v>7.0371982588049065</v>
      </c>
      <c r="G21" s="570">
        <f t="shared" si="2"/>
        <v>0.17782999999999999</v>
      </c>
      <c r="H21" s="570">
        <f>'6 месяцев'!I19+'6 месяцев'!L19+'июль (2)'!I19+'июль (2)'!L19</f>
        <v>0.17782999999999999</v>
      </c>
      <c r="I21" s="570">
        <f>'6 месяцев'!J19+'6 месяцев'!M19+'июль (2)'!J19+'июль (2)'!M19</f>
        <v>0</v>
      </c>
      <c r="J21" s="268"/>
    </row>
    <row r="22" spans="1:10" s="290" customFormat="1" ht="15.75" thickBot="1">
      <c r="A22" s="1847"/>
      <c r="B22" s="1836"/>
      <c r="C22" s="292" t="s">
        <v>21</v>
      </c>
      <c r="D22" s="293">
        <v>1516.1999999999998</v>
      </c>
      <c r="E22" s="570">
        <f t="shared" si="0"/>
        <v>79.061999999999998</v>
      </c>
      <c r="F22" s="570">
        <f t="shared" si="1"/>
        <v>5.2144835773644642</v>
      </c>
      <c r="G22" s="570">
        <f t="shared" si="2"/>
        <v>79.061999999999998</v>
      </c>
      <c r="H22" s="570">
        <f>'6 месяцев'!I20+'6 месяцев'!L20+'июль (2)'!I20+'июль (2)'!L20</f>
        <v>79.061999999999998</v>
      </c>
      <c r="I22" s="570">
        <f>'6 месяцев'!J20+'6 месяцев'!M20+'июль (2)'!J20+'июль (2)'!M20</f>
        <v>0</v>
      </c>
      <c r="J22" s="268"/>
    </row>
    <row r="23" spans="1:10" s="290" customFormat="1" ht="15.75" thickBot="1">
      <c r="A23" s="294" t="s">
        <v>217</v>
      </c>
      <c r="B23" s="295" t="s">
        <v>31</v>
      </c>
      <c r="C23" s="296" t="s">
        <v>21</v>
      </c>
      <c r="D23" s="297">
        <v>0</v>
      </c>
      <c r="E23" s="570">
        <f t="shared" si="0"/>
        <v>0</v>
      </c>
      <c r="F23" s="570">
        <v>0</v>
      </c>
      <c r="G23" s="570">
        <f t="shared" si="2"/>
        <v>0</v>
      </c>
      <c r="H23" s="570">
        <f>'6 месяцев'!I21+'6 месяцев'!L21+'июль (2)'!I21+'июль (2)'!L21</f>
        <v>0</v>
      </c>
      <c r="I23" s="570">
        <f>'6 месяцев'!J21+'6 месяцев'!M21+'июль (2)'!J21+'июль (2)'!M21</f>
        <v>0</v>
      </c>
      <c r="J23" s="268"/>
    </row>
    <row r="24" spans="1:10" s="290" customFormat="1" ht="45.75" thickBot="1">
      <c r="A24" s="1870" t="s">
        <v>218</v>
      </c>
      <c r="B24" s="1856" t="s">
        <v>219</v>
      </c>
      <c r="C24" s="298" t="s">
        <v>33</v>
      </c>
      <c r="D24" s="299">
        <v>6</v>
      </c>
      <c r="E24" s="570">
        <f t="shared" si="0"/>
        <v>2</v>
      </c>
      <c r="F24" s="570">
        <f t="shared" si="1"/>
        <v>33.333333333333329</v>
      </c>
      <c r="G24" s="570">
        <f t="shared" si="2"/>
        <v>2</v>
      </c>
      <c r="H24" s="570">
        <f>'6 месяцев'!I22+'6 месяцев'!L22+'июль (2)'!I22+'июль (2)'!L22</f>
        <v>2</v>
      </c>
      <c r="I24" s="570">
        <f>'6 месяцев'!J22+'6 месяцев'!M22+'июль (2)'!J22+'июль (2)'!M22</f>
        <v>0</v>
      </c>
      <c r="J24" s="268"/>
    </row>
    <row r="25" spans="1:10" s="290" customFormat="1" ht="15.75" thickBot="1">
      <c r="A25" s="1865"/>
      <c r="B25" s="1871"/>
      <c r="C25" s="300" t="s">
        <v>21</v>
      </c>
      <c r="D25" s="289">
        <v>1866.1920000000002</v>
      </c>
      <c r="E25" s="605">
        <f t="shared" si="0"/>
        <v>713.28100000000018</v>
      </c>
      <c r="F25" s="570">
        <f t="shared" si="1"/>
        <v>38.221201248317435</v>
      </c>
      <c r="G25" s="570">
        <f t="shared" si="2"/>
        <v>713.28100000000018</v>
      </c>
      <c r="H25" s="570">
        <f>'6 месяцев'!I23+'6 месяцев'!L23+'июль (2)'!I23+'июль (2)'!L23</f>
        <v>713.28100000000018</v>
      </c>
      <c r="I25" s="570">
        <f>'6 месяцев'!J23+'6 месяцев'!M23+'июль (2)'!J23+'июль (2)'!M23</f>
        <v>0</v>
      </c>
      <c r="J25" s="268"/>
    </row>
    <row r="26" spans="1:10" s="290" customFormat="1" ht="15.75" thickBot="1">
      <c r="A26" s="1865" t="s">
        <v>35</v>
      </c>
      <c r="B26" s="1866" t="s">
        <v>36</v>
      </c>
      <c r="C26" s="292" t="s">
        <v>220</v>
      </c>
      <c r="D26" s="293">
        <v>227.12</v>
      </c>
      <c r="E26" s="570">
        <f t="shared" si="0"/>
        <v>55.83</v>
      </c>
      <c r="F26" s="570">
        <f t="shared" si="1"/>
        <v>24.581718915110955</v>
      </c>
      <c r="G26" s="570">
        <f t="shared" si="2"/>
        <v>55.83</v>
      </c>
      <c r="H26" s="570">
        <f>'6 месяцев'!I24+'6 месяцев'!L24+'июль (2)'!I24+'июль (2)'!L24</f>
        <v>55.83</v>
      </c>
      <c r="I26" s="570">
        <f>'6 месяцев'!J24+'6 месяцев'!M24+'июль (2)'!J24+'июль (2)'!M24</f>
        <v>0</v>
      </c>
      <c r="J26" s="268"/>
    </row>
    <row r="27" spans="1:10" s="290" customFormat="1" ht="15.75" thickBot="1">
      <c r="A27" s="1865"/>
      <c r="B27" s="1866"/>
      <c r="C27" s="292" t="s">
        <v>21</v>
      </c>
      <c r="D27" s="293">
        <v>1247.5320000000002</v>
      </c>
      <c r="E27" s="570">
        <f t="shared" si="0"/>
        <v>462.76700000000005</v>
      </c>
      <c r="F27" s="570">
        <f t="shared" si="1"/>
        <v>37.094599577405631</v>
      </c>
      <c r="G27" s="570">
        <f t="shared" si="2"/>
        <v>462.76700000000005</v>
      </c>
      <c r="H27" s="570">
        <f>'6 месяцев'!I25+'6 месяцев'!L25+'июль (2)'!I25+'июль (2)'!L25</f>
        <v>462.76700000000005</v>
      </c>
      <c r="I27" s="570">
        <f>'6 месяцев'!J25+'6 месяцев'!M25+'июль (2)'!J25+'июль (2)'!M25</f>
        <v>0</v>
      </c>
      <c r="J27" s="268"/>
    </row>
    <row r="28" spans="1:10" s="290" customFormat="1" ht="15.75" thickBot="1">
      <c r="A28" s="1865" t="s">
        <v>38</v>
      </c>
      <c r="B28" s="1869" t="s">
        <v>221</v>
      </c>
      <c r="C28" s="292" t="s">
        <v>222</v>
      </c>
      <c r="D28" s="293">
        <v>452</v>
      </c>
      <c r="E28" s="570">
        <f t="shared" si="0"/>
        <v>142.80000000000001</v>
      </c>
      <c r="F28" s="570">
        <f t="shared" si="1"/>
        <v>31.592920353982301</v>
      </c>
      <c r="G28" s="570">
        <f t="shared" si="2"/>
        <v>142.80000000000001</v>
      </c>
      <c r="H28" s="570">
        <f>'6 месяцев'!I26+'6 месяцев'!L26+'июль (2)'!I26+'июль (2)'!L26</f>
        <v>142.80000000000001</v>
      </c>
      <c r="I28" s="570">
        <f>'6 месяцев'!J26+'6 месяцев'!M26+'июль (2)'!J26+'июль (2)'!M26</f>
        <v>0</v>
      </c>
      <c r="J28" s="268"/>
    </row>
    <row r="29" spans="1:10" s="290" customFormat="1" ht="15.75" thickBot="1">
      <c r="A29" s="1865"/>
      <c r="B29" s="1869"/>
      <c r="C29" s="292" t="s">
        <v>21</v>
      </c>
      <c r="D29" s="293">
        <v>566.60500000000002</v>
      </c>
      <c r="E29" s="570">
        <f t="shared" si="0"/>
        <v>212.48700000000002</v>
      </c>
      <c r="F29" s="570">
        <f t="shared" si="1"/>
        <v>37.501786959169088</v>
      </c>
      <c r="G29" s="570">
        <f t="shared" si="2"/>
        <v>212.48700000000002</v>
      </c>
      <c r="H29" s="570">
        <f>'6 месяцев'!I27+'6 месяцев'!L27+'июль (2)'!I27+'июль (2)'!L27</f>
        <v>212.48700000000002</v>
      </c>
      <c r="I29" s="570">
        <f>'6 месяцев'!J27+'6 месяцев'!M27+'июль (2)'!J27+'июль (2)'!M27</f>
        <v>0</v>
      </c>
      <c r="J29" s="268"/>
    </row>
    <row r="30" spans="1:10" s="290" customFormat="1" ht="15.75" thickBot="1">
      <c r="A30" s="1865" t="s">
        <v>42</v>
      </c>
      <c r="B30" s="1869" t="s">
        <v>223</v>
      </c>
      <c r="C30" s="292" t="s">
        <v>222</v>
      </c>
      <c r="D30" s="293">
        <v>0</v>
      </c>
      <c r="E30" s="570">
        <f t="shared" si="0"/>
        <v>0</v>
      </c>
      <c r="F30" s="570">
        <v>0</v>
      </c>
      <c r="G30" s="570">
        <f t="shared" si="2"/>
        <v>0</v>
      </c>
      <c r="H30" s="570">
        <f>'6 месяцев'!I28+'6 месяцев'!L28+'июль (2)'!I28+'июль (2)'!L28</f>
        <v>0</v>
      </c>
      <c r="I30" s="570">
        <f>'6 месяцев'!J28+'6 месяцев'!M28+'июль (2)'!J28+'июль (2)'!M28</f>
        <v>0</v>
      </c>
      <c r="J30" s="268"/>
    </row>
    <row r="31" spans="1:10" s="290" customFormat="1" ht="15.75" thickBot="1">
      <c r="A31" s="1865"/>
      <c r="B31" s="1869"/>
      <c r="C31" s="292" t="s">
        <v>21</v>
      </c>
      <c r="D31" s="293">
        <v>0</v>
      </c>
      <c r="E31" s="570">
        <f t="shared" si="0"/>
        <v>0</v>
      </c>
      <c r="F31" s="570">
        <v>0</v>
      </c>
      <c r="G31" s="570">
        <f t="shared" si="2"/>
        <v>0</v>
      </c>
      <c r="H31" s="570">
        <f>'6 месяцев'!I29+'6 месяцев'!L29+'июль (2)'!I29+'июль (2)'!L29</f>
        <v>0</v>
      </c>
      <c r="I31" s="570">
        <f>'6 месяцев'!J29+'6 месяцев'!M29+'июль (2)'!J29+'июль (2)'!M29</f>
        <v>0</v>
      </c>
      <c r="J31" s="268"/>
    </row>
    <row r="32" spans="1:10" s="290" customFormat="1" ht="15.75" thickBot="1">
      <c r="A32" s="1865" t="s">
        <v>45</v>
      </c>
      <c r="B32" s="1866" t="s">
        <v>46</v>
      </c>
      <c r="C32" s="292" t="s">
        <v>47</v>
      </c>
      <c r="D32" s="293">
        <v>0</v>
      </c>
      <c r="E32" s="570">
        <f t="shared" si="0"/>
        <v>0</v>
      </c>
      <c r="F32" s="570">
        <v>0</v>
      </c>
      <c r="G32" s="570">
        <f t="shared" si="2"/>
        <v>0</v>
      </c>
      <c r="H32" s="570">
        <f>'6 месяцев'!I30+'6 месяцев'!L30+'июль (2)'!I30+'июль (2)'!L30</f>
        <v>0</v>
      </c>
      <c r="I32" s="570">
        <f>'6 месяцев'!J30+'6 месяцев'!M30+'июль (2)'!J30+'июль (2)'!M30</f>
        <v>0</v>
      </c>
      <c r="J32" s="268"/>
    </row>
    <row r="33" spans="1:10" s="290" customFormat="1" ht="15.75" thickBot="1">
      <c r="A33" s="1865"/>
      <c r="B33" s="1866"/>
      <c r="C33" s="292" t="s">
        <v>21</v>
      </c>
      <c r="D33" s="293">
        <v>0</v>
      </c>
      <c r="E33" s="570">
        <f t="shared" si="0"/>
        <v>0</v>
      </c>
      <c r="F33" s="570">
        <v>0</v>
      </c>
      <c r="G33" s="570">
        <f t="shared" si="2"/>
        <v>0</v>
      </c>
      <c r="H33" s="570">
        <f>'6 месяцев'!I31+'6 месяцев'!L31+'июль (2)'!I31+'июль (2)'!L31</f>
        <v>0</v>
      </c>
      <c r="I33" s="570">
        <f>'6 месяцев'!J31+'6 месяцев'!M31+'июль (2)'!J31+'июль (2)'!M31</f>
        <v>0</v>
      </c>
      <c r="J33" s="268"/>
    </row>
    <row r="34" spans="1:10" s="290" customFormat="1" ht="15.75" thickBot="1">
      <c r="A34" s="301" t="s">
        <v>48</v>
      </c>
      <c r="B34" s="302" t="s">
        <v>224</v>
      </c>
      <c r="C34" s="303" t="s">
        <v>21</v>
      </c>
      <c r="D34" s="304">
        <v>52.054999999999986</v>
      </c>
      <c r="E34" s="570">
        <f t="shared" si="0"/>
        <v>38.027000000000001</v>
      </c>
      <c r="F34" s="570">
        <f t="shared" si="1"/>
        <v>73.051580059552421</v>
      </c>
      <c r="G34" s="570">
        <f t="shared" si="2"/>
        <v>38.027000000000001</v>
      </c>
      <c r="H34" s="570">
        <f>'6 месяцев'!I32+'6 месяцев'!L32+'июль (2)'!I32+'июль (2)'!L32</f>
        <v>38.027000000000001</v>
      </c>
      <c r="I34" s="570">
        <f>'6 месяцев'!J32+'6 месяцев'!M32+'июль (2)'!J32+'июль (2)'!M32</f>
        <v>0</v>
      </c>
      <c r="J34" s="268"/>
    </row>
    <row r="35" spans="1:10" s="290" customFormat="1" ht="15.75" thickBot="1">
      <c r="A35" s="1838" t="s">
        <v>119</v>
      </c>
      <c r="B35" s="1858" t="s">
        <v>225</v>
      </c>
      <c r="C35" s="305" t="s">
        <v>51</v>
      </c>
      <c r="D35" s="306">
        <v>3.7</v>
      </c>
      <c r="E35" s="570">
        <f t="shared" si="0"/>
        <v>1.4216</v>
      </c>
      <c r="F35" s="570">
        <f t="shared" si="1"/>
        <v>38.421621621621618</v>
      </c>
      <c r="G35" s="570">
        <f t="shared" si="2"/>
        <v>1.4216</v>
      </c>
      <c r="H35" s="570">
        <f>'6 месяцев'!I33+'6 месяцев'!L33+'июль (2)'!I33+'июль (2)'!L33</f>
        <v>1.4216</v>
      </c>
      <c r="I35" s="570">
        <f>'6 месяцев'!J33+'6 месяцев'!M33+'июль (2)'!J33+'июль (2)'!M33</f>
        <v>0</v>
      </c>
      <c r="J35" s="268"/>
    </row>
    <row r="36" spans="1:10" s="290" customFormat="1" ht="15.75" thickBot="1">
      <c r="A36" s="1839"/>
      <c r="B36" s="1859"/>
      <c r="C36" s="308" t="s">
        <v>21</v>
      </c>
      <c r="D36" s="309">
        <v>2400</v>
      </c>
      <c r="E36" s="570">
        <f t="shared" si="0"/>
        <v>810.20800000000008</v>
      </c>
      <c r="F36" s="570">
        <f t="shared" si="1"/>
        <v>33.75866666666667</v>
      </c>
      <c r="G36" s="570">
        <f t="shared" si="2"/>
        <v>810.20800000000008</v>
      </c>
      <c r="H36" s="570">
        <f>'6 месяцев'!I34+'6 месяцев'!L34+'июль (2)'!I34+'июль (2)'!L34</f>
        <v>810.20800000000008</v>
      </c>
      <c r="I36" s="570">
        <f>'6 месяцев'!J34+'6 месяцев'!M34+'июль (2)'!J34+'июль (2)'!M34</f>
        <v>0</v>
      </c>
      <c r="J36" s="268"/>
    </row>
    <row r="37" spans="1:10" s="290" customFormat="1" ht="15.75" thickBot="1">
      <c r="A37" s="1842" t="s">
        <v>121</v>
      </c>
      <c r="B37" s="1867" t="s">
        <v>53</v>
      </c>
      <c r="C37" s="311" t="s">
        <v>24</v>
      </c>
      <c r="D37" s="312">
        <v>6.0336499999999873</v>
      </c>
      <c r="E37" s="570">
        <f t="shared" si="0"/>
        <v>0.28000000000000003</v>
      </c>
      <c r="F37" s="570">
        <f t="shared" si="1"/>
        <v>4.6406404083763659</v>
      </c>
      <c r="G37" s="570">
        <f t="shared" si="2"/>
        <v>0.28000000000000003</v>
      </c>
      <c r="H37" s="570">
        <f>'6 месяцев'!I35+'6 месяцев'!L35+'июль (2)'!I35+'июль (2)'!L35</f>
        <v>0.28000000000000003</v>
      </c>
      <c r="I37" s="570">
        <f>'6 месяцев'!J35+'6 месяцев'!M35+'июль (2)'!J35+'июль (2)'!M35</f>
        <v>0</v>
      </c>
      <c r="J37" s="268"/>
    </row>
    <row r="38" spans="1:10" s="290" customFormat="1" ht="15.75" thickBot="1">
      <c r="A38" s="1835"/>
      <c r="B38" s="1868"/>
      <c r="C38" s="303" t="s">
        <v>21</v>
      </c>
      <c r="D38" s="304">
        <v>10556.737500000001</v>
      </c>
      <c r="E38" s="570">
        <f t="shared" si="0"/>
        <v>237.96599999999998</v>
      </c>
      <c r="F38" s="570">
        <f t="shared" si="1"/>
        <v>2.2541623299812081</v>
      </c>
      <c r="G38" s="570">
        <f t="shared" si="2"/>
        <v>237.96599999999998</v>
      </c>
      <c r="H38" s="570">
        <f>'6 месяцев'!I36+'6 месяцев'!L36+'июль (2)'!I36+'июль (2)'!L36</f>
        <v>237.96599999999998</v>
      </c>
      <c r="I38" s="570">
        <f>'6 месяцев'!J36+'6 месяцев'!M36+'июль (2)'!J36+'июль (2)'!M36</f>
        <v>0</v>
      </c>
      <c r="J38" s="268"/>
    </row>
    <row r="39" spans="1:10" s="290" customFormat="1" ht="15.75" thickBot="1">
      <c r="A39" s="1838" t="s">
        <v>124</v>
      </c>
      <c r="B39" s="1854" t="s">
        <v>226</v>
      </c>
      <c r="C39" s="305" t="s">
        <v>24</v>
      </c>
      <c r="D39" s="306">
        <v>64.735100000000031</v>
      </c>
      <c r="E39" s="570">
        <f t="shared" si="0"/>
        <v>2.1928000000000001</v>
      </c>
      <c r="F39" s="570">
        <f t="shared" si="1"/>
        <v>3.3873431878532654</v>
      </c>
      <c r="G39" s="570">
        <f t="shared" si="2"/>
        <v>2.1928000000000001</v>
      </c>
      <c r="H39" s="570">
        <f>'6 месяцев'!I37+'6 месяцев'!L37+'июль (2)'!I37+'июль (2)'!L37</f>
        <v>2.1928000000000001</v>
      </c>
      <c r="I39" s="570">
        <f>'6 месяцев'!J37+'6 месяцев'!M37+'июль (2)'!J37+'июль (2)'!M37</f>
        <v>0</v>
      </c>
      <c r="J39" s="268"/>
    </row>
    <row r="40" spans="1:10" s="290" customFormat="1" ht="15.75" thickBot="1">
      <c r="A40" s="1834"/>
      <c r="B40" s="1862"/>
      <c r="C40" s="292" t="s">
        <v>56</v>
      </c>
      <c r="D40" s="293">
        <v>190</v>
      </c>
      <c r="E40" s="570">
        <f t="shared" si="0"/>
        <v>6</v>
      </c>
      <c r="F40" s="570">
        <f t="shared" si="1"/>
        <v>3.1578947368421053</v>
      </c>
      <c r="G40" s="570">
        <f t="shared" si="2"/>
        <v>6</v>
      </c>
      <c r="H40" s="570">
        <f>'6 месяцев'!I38+'6 месяцев'!L38+'июль (2)'!I38+'июль (2)'!L38</f>
        <v>6</v>
      </c>
      <c r="I40" s="570">
        <f>'6 месяцев'!J38+'6 месяцев'!M38+'июль (2)'!J38+'июль (2)'!M38</f>
        <v>0</v>
      </c>
      <c r="J40" s="268"/>
    </row>
    <row r="41" spans="1:10" s="290" customFormat="1" ht="15.75" thickBot="1">
      <c r="A41" s="1839"/>
      <c r="B41" s="1855"/>
      <c r="C41" s="308" t="s">
        <v>21</v>
      </c>
      <c r="D41" s="309">
        <v>28894.864399999999</v>
      </c>
      <c r="E41" s="570">
        <f t="shared" si="0"/>
        <v>728.46599999999989</v>
      </c>
      <c r="F41" s="570">
        <f t="shared" si="1"/>
        <v>2.5210916027001669</v>
      </c>
      <c r="G41" s="570">
        <f t="shared" si="2"/>
        <v>728.46599999999989</v>
      </c>
      <c r="H41" s="570">
        <f>'6 месяцев'!I39+'6 месяцев'!L39+'июль (2)'!I39+'июль (2)'!L39</f>
        <v>728.46599999999989</v>
      </c>
      <c r="I41" s="570">
        <f>'6 месяцев'!J39+'6 месяцев'!M39+'июль (2)'!J39+'июль (2)'!M39</f>
        <v>0</v>
      </c>
      <c r="J41" s="268"/>
    </row>
    <row r="42" spans="1:10" s="290" customFormat="1" ht="15.75" thickBot="1">
      <c r="A42" s="1842" t="s">
        <v>126</v>
      </c>
      <c r="B42" s="1863" t="s">
        <v>58</v>
      </c>
      <c r="C42" s="311" t="s">
        <v>24</v>
      </c>
      <c r="D42" s="312">
        <v>0.1</v>
      </c>
      <c r="E42" s="570">
        <f t="shared" si="0"/>
        <v>0.01</v>
      </c>
      <c r="F42" s="570">
        <f t="shared" si="1"/>
        <v>10</v>
      </c>
      <c r="G42" s="570">
        <f t="shared" si="2"/>
        <v>0.01</v>
      </c>
      <c r="H42" s="570">
        <f>'6 месяцев'!I40+'6 месяцев'!L40+'июль (2)'!I40+'июль (2)'!L40</f>
        <v>0.01</v>
      </c>
      <c r="I42" s="570">
        <f>'6 месяцев'!J40+'6 месяцев'!M40+'июль (2)'!J40+'июль (2)'!M40</f>
        <v>0</v>
      </c>
      <c r="J42" s="268"/>
    </row>
    <row r="43" spans="1:10" s="290" customFormat="1" ht="15.75" thickBot="1">
      <c r="A43" s="1835"/>
      <c r="B43" s="1864"/>
      <c r="C43" s="303" t="s">
        <v>21</v>
      </c>
      <c r="D43" s="304">
        <v>40</v>
      </c>
      <c r="E43" s="570">
        <f t="shared" si="0"/>
        <v>1.365</v>
      </c>
      <c r="F43" s="570">
        <f t="shared" si="1"/>
        <v>3.4125000000000001</v>
      </c>
      <c r="G43" s="570">
        <f t="shared" si="2"/>
        <v>1.365</v>
      </c>
      <c r="H43" s="570">
        <f>'6 месяцев'!I41+'6 месяцев'!L41+'июль (2)'!I41+'июль (2)'!L41</f>
        <v>1.365</v>
      </c>
      <c r="I43" s="570">
        <f>'6 месяцев'!J41+'6 месяцев'!M41+'июль (2)'!J41+'июль (2)'!M41</f>
        <v>0</v>
      </c>
      <c r="J43" s="268"/>
    </row>
    <row r="44" spans="1:10" s="290" customFormat="1" ht="15.75" thickBot="1">
      <c r="A44" s="1838" t="s">
        <v>227</v>
      </c>
      <c r="B44" s="1854" t="s">
        <v>228</v>
      </c>
      <c r="C44" s="305" t="s">
        <v>24</v>
      </c>
      <c r="D44" s="306">
        <v>0.3</v>
      </c>
      <c r="E44" s="570">
        <f t="shared" si="0"/>
        <v>0.20741500000000002</v>
      </c>
      <c r="F44" s="570">
        <f t="shared" si="1"/>
        <v>69.13833333333335</v>
      </c>
      <c r="G44" s="570">
        <f t="shared" si="2"/>
        <v>0.20741500000000002</v>
      </c>
      <c r="H44" s="570">
        <f>'6 месяцев'!I42+'6 месяцев'!L42+'июль (2)'!I42+'июль (2)'!L42</f>
        <v>0.20241500000000001</v>
      </c>
      <c r="I44" s="570">
        <f>'6 месяцев'!J42+'6 месяцев'!M42+'июль (2)'!J42+'июль (2)'!M42</f>
        <v>5.0000000000000001E-3</v>
      </c>
      <c r="J44" s="268"/>
    </row>
    <row r="45" spans="1:10" s="290" customFormat="1" ht="15.75" thickBot="1">
      <c r="A45" s="1835"/>
      <c r="B45" s="1864"/>
      <c r="C45" s="303" t="s">
        <v>21</v>
      </c>
      <c r="D45" s="304">
        <v>360</v>
      </c>
      <c r="E45" s="570">
        <f t="shared" si="0"/>
        <v>241.477</v>
      </c>
      <c r="F45" s="570">
        <f t="shared" si="1"/>
        <v>67.076944444444436</v>
      </c>
      <c r="G45" s="570">
        <f t="shared" si="2"/>
        <v>241.477</v>
      </c>
      <c r="H45" s="570">
        <f>'6 месяцев'!I43+'6 месяцев'!L43+'июль (2)'!I43+'июль (2)'!L43</f>
        <v>211.565</v>
      </c>
      <c r="I45" s="570">
        <f>'6 месяцев'!J43+'6 месяцев'!M43+'июль (2)'!J43+'июль (2)'!M43</f>
        <v>29.911999999999999</v>
      </c>
      <c r="J45" s="268"/>
    </row>
    <row r="46" spans="1:10" s="290" customFormat="1" ht="15.75" thickBot="1">
      <c r="A46" s="1838" t="s">
        <v>229</v>
      </c>
      <c r="B46" s="1858" t="s">
        <v>230</v>
      </c>
      <c r="C46" s="305" t="s">
        <v>47</v>
      </c>
      <c r="D46" s="306">
        <v>90</v>
      </c>
      <c r="E46" s="570">
        <f t="shared" si="0"/>
        <v>83</v>
      </c>
      <c r="F46" s="570">
        <f t="shared" si="1"/>
        <v>92.222222222222229</v>
      </c>
      <c r="G46" s="570">
        <f t="shared" si="2"/>
        <v>83</v>
      </c>
      <c r="H46" s="570">
        <f>'6 месяцев'!I44+'6 месяцев'!L44+'июль (2)'!I44+'июль (2)'!L44</f>
        <v>83</v>
      </c>
      <c r="I46" s="570">
        <f>'6 месяцев'!J44+'6 месяцев'!M44+'июль (2)'!J44+'июль (2)'!M44</f>
        <v>0</v>
      </c>
      <c r="J46" s="268"/>
    </row>
    <row r="47" spans="1:10" s="290" customFormat="1" ht="15.75" thickBot="1">
      <c r="A47" s="1839"/>
      <c r="B47" s="1859"/>
      <c r="C47" s="308" t="s">
        <v>21</v>
      </c>
      <c r="D47" s="309">
        <v>60</v>
      </c>
      <c r="E47" s="570">
        <f t="shared" si="0"/>
        <v>90.608999999999995</v>
      </c>
      <c r="F47" s="570">
        <f t="shared" si="1"/>
        <v>151.01499999999999</v>
      </c>
      <c r="G47" s="570">
        <f t="shared" si="2"/>
        <v>90.608999999999995</v>
      </c>
      <c r="H47" s="570">
        <f>'6 месяцев'!I45+'6 месяцев'!L45+'июль (2)'!I45+'июль (2)'!L45</f>
        <v>90.608999999999995</v>
      </c>
      <c r="I47" s="570">
        <f>'6 месяцев'!J45+'6 месяцев'!M45+'июль (2)'!J45+'июль (2)'!M45</f>
        <v>0</v>
      </c>
      <c r="J47" s="268"/>
    </row>
    <row r="48" spans="1:10" s="290" customFormat="1" ht="15.75" thickBot="1">
      <c r="A48" s="1842" t="s">
        <v>231</v>
      </c>
      <c r="B48" s="1860" t="s">
        <v>232</v>
      </c>
      <c r="C48" s="311" t="s">
        <v>47</v>
      </c>
      <c r="D48" s="312">
        <v>0</v>
      </c>
      <c r="E48" s="570">
        <f t="shared" si="0"/>
        <v>0</v>
      </c>
      <c r="F48" s="570">
        <v>0</v>
      </c>
      <c r="G48" s="570">
        <f t="shared" si="2"/>
        <v>0</v>
      </c>
      <c r="H48" s="570">
        <f>'6 месяцев'!I46+'6 месяцев'!L46+'июль (2)'!I46+'июль (2)'!L46</f>
        <v>0</v>
      </c>
      <c r="I48" s="570">
        <f>'6 месяцев'!J46+'6 месяцев'!M46+'июль (2)'!J46+'июль (2)'!M46</f>
        <v>0</v>
      </c>
      <c r="J48" s="268"/>
    </row>
    <row r="49" spans="1:10" s="290" customFormat="1" ht="15.75" thickBot="1">
      <c r="A49" s="1835"/>
      <c r="B49" s="1861"/>
      <c r="C49" s="303" t="s">
        <v>21</v>
      </c>
      <c r="D49" s="304">
        <v>0</v>
      </c>
      <c r="E49" s="570">
        <f t="shared" si="0"/>
        <v>0</v>
      </c>
      <c r="F49" s="570">
        <v>0</v>
      </c>
      <c r="G49" s="570">
        <f t="shared" si="2"/>
        <v>0</v>
      </c>
      <c r="H49" s="570">
        <f>'6 месяцев'!I47+'6 месяцев'!L47+'июль (2)'!I47+'июль (2)'!L47</f>
        <v>0</v>
      </c>
      <c r="I49" s="570">
        <f>'6 месяцев'!J47+'6 месяцев'!M47+'июль (2)'!J47+'июль (2)'!M47</f>
        <v>0</v>
      </c>
      <c r="J49" s="268"/>
    </row>
    <row r="50" spans="1:10" s="290" customFormat="1" ht="15.75" thickBot="1">
      <c r="A50" s="1838" t="s">
        <v>136</v>
      </c>
      <c r="B50" s="1840" t="s">
        <v>233</v>
      </c>
      <c r="C50" s="305" t="s">
        <v>51</v>
      </c>
      <c r="D50" s="306">
        <v>1.6666666666666667</v>
      </c>
      <c r="E50" s="570">
        <f t="shared" si="0"/>
        <v>4.0000000000000001E-3</v>
      </c>
      <c r="F50" s="570">
        <f t="shared" si="1"/>
        <v>0.24</v>
      </c>
      <c r="G50" s="570">
        <f t="shared" si="2"/>
        <v>4.0000000000000001E-3</v>
      </c>
      <c r="H50" s="570">
        <f>'6 месяцев'!I48+'6 месяцев'!L48+'июль (2)'!I48+'июль (2)'!L48</f>
        <v>4.0000000000000001E-3</v>
      </c>
      <c r="I50" s="570">
        <f>'6 месяцев'!J48+'6 месяцев'!M48+'июль (2)'!J48+'июль (2)'!M48</f>
        <v>0</v>
      </c>
      <c r="J50" s="268"/>
    </row>
    <row r="51" spans="1:10" s="290" customFormat="1" ht="15.75" thickBot="1">
      <c r="A51" s="1839"/>
      <c r="B51" s="1841"/>
      <c r="C51" s="308" t="s">
        <v>21</v>
      </c>
      <c r="D51" s="309">
        <v>3000</v>
      </c>
      <c r="E51" s="570">
        <f t="shared" si="0"/>
        <v>6.4939999999999998</v>
      </c>
      <c r="F51" s="570">
        <f t="shared" si="1"/>
        <v>0.21646666666666667</v>
      </c>
      <c r="G51" s="570">
        <f t="shared" si="2"/>
        <v>6.4939999999999998</v>
      </c>
      <c r="H51" s="570">
        <f>'6 месяцев'!I49+'6 месяцев'!L49+'июль (2)'!I49+'июль (2)'!L49</f>
        <v>6.4939999999999998</v>
      </c>
      <c r="I51" s="570">
        <f>'6 месяцев'!J49+'6 месяцев'!M49+'июль (2)'!J49+'июль (2)'!M49</f>
        <v>0</v>
      </c>
      <c r="J51" s="268"/>
    </row>
    <row r="52" spans="1:10" s="290" customFormat="1" ht="15.75" thickBot="1">
      <c r="A52" s="1842" t="s">
        <v>140</v>
      </c>
      <c r="B52" s="1843" t="s">
        <v>234</v>
      </c>
      <c r="C52" s="311" t="s">
        <v>47</v>
      </c>
      <c r="D52" s="312">
        <v>130</v>
      </c>
      <c r="E52" s="570">
        <f t="shared" si="0"/>
        <v>75</v>
      </c>
      <c r="F52" s="570">
        <f t="shared" si="1"/>
        <v>57.692307692307686</v>
      </c>
      <c r="G52" s="570">
        <f t="shared" si="2"/>
        <v>75</v>
      </c>
      <c r="H52" s="570">
        <f>'6 месяцев'!I50+'6 месяцев'!L50+'июль (2)'!I50+'июль (2)'!L50</f>
        <v>67</v>
      </c>
      <c r="I52" s="570">
        <f>'6 месяцев'!J50+'6 месяцев'!M50+'июль (2)'!J50+'июль (2)'!M50</f>
        <v>8</v>
      </c>
      <c r="J52" s="268"/>
    </row>
    <row r="53" spans="1:10" s="290" customFormat="1" ht="15.75" thickBot="1">
      <c r="A53" s="1835"/>
      <c r="B53" s="1844"/>
      <c r="C53" s="303" t="s">
        <v>21</v>
      </c>
      <c r="D53" s="304">
        <v>900</v>
      </c>
      <c r="E53" s="570">
        <f t="shared" si="0"/>
        <v>1082.828</v>
      </c>
      <c r="F53" s="570">
        <f t="shared" si="1"/>
        <v>120.31422222222221</v>
      </c>
      <c r="G53" s="570">
        <f t="shared" si="2"/>
        <v>1082.828</v>
      </c>
      <c r="H53" s="570">
        <f>'6 месяцев'!I51+'6 месяцев'!L51+'июль (2)'!I51+'июль (2)'!L51</f>
        <v>524.86399999999992</v>
      </c>
      <c r="I53" s="570">
        <f>'6 месяцев'!J51+'6 месяцев'!M51+'июль (2)'!J51+'июль (2)'!M51</f>
        <v>557.96399999999994</v>
      </c>
      <c r="J53" s="268"/>
    </row>
    <row r="54" spans="1:10" s="290" customFormat="1" ht="15.75" thickBot="1">
      <c r="A54" s="1838" t="s">
        <v>142</v>
      </c>
      <c r="B54" s="1845" t="s">
        <v>67</v>
      </c>
      <c r="C54" s="305" t="s">
        <v>47</v>
      </c>
      <c r="D54" s="306">
        <v>70</v>
      </c>
      <c r="E54" s="570">
        <f t="shared" si="0"/>
        <v>59</v>
      </c>
      <c r="F54" s="570">
        <f t="shared" si="1"/>
        <v>84.285714285714292</v>
      </c>
      <c r="G54" s="570">
        <f t="shared" si="2"/>
        <v>59</v>
      </c>
      <c r="H54" s="570">
        <f>'6 месяцев'!I52+'6 месяцев'!L52+'июль (2)'!I52+'июль (2)'!L52</f>
        <v>55</v>
      </c>
      <c r="I54" s="570">
        <f>'6 месяцев'!J52+'6 месяцев'!M52+'июль (2)'!J52+'июль (2)'!M52</f>
        <v>4</v>
      </c>
      <c r="J54" s="268"/>
    </row>
    <row r="55" spans="1:10" s="290" customFormat="1" ht="15.75" thickBot="1">
      <c r="A55" s="1839"/>
      <c r="B55" s="1846"/>
      <c r="C55" s="308" t="s">
        <v>21</v>
      </c>
      <c r="D55" s="309">
        <v>1000</v>
      </c>
      <c r="E55" s="570">
        <f t="shared" si="0"/>
        <v>752.6880000000001</v>
      </c>
      <c r="F55" s="570">
        <f t="shared" si="1"/>
        <v>75.268800000000013</v>
      </c>
      <c r="G55" s="570">
        <f t="shared" si="2"/>
        <v>752.6880000000001</v>
      </c>
      <c r="H55" s="570">
        <f>'6 месяцев'!I53+'6 месяцев'!L53+'июль (2)'!I53+'июль (2)'!L53</f>
        <v>628.48800000000006</v>
      </c>
      <c r="I55" s="570">
        <f>'6 месяцев'!J53+'6 месяцев'!M53+'июль (2)'!J53+'июль (2)'!M53</f>
        <v>124.19999999999999</v>
      </c>
      <c r="J55" s="268"/>
    </row>
    <row r="56" spans="1:10" s="290" customFormat="1" ht="15.75" thickBot="1">
      <c r="A56" s="1842" t="s">
        <v>235</v>
      </c>
      <c r="B56" s="1843" t="s">
        <v>236</v>
      </c>
      <c r="C56" s="311" t="s">
        <v>47</v>
      </c>
      <c r="D56" s="312">
        <v>300</v>
      </c>
      <c r="E56" s="570">
        <f t="shared" si="0"/>
        <v>62</v>
      </c>
      <c r="F56" s="570">
        <f t="shared" si="1"/>
        <v>20.666666666666668</v>
      </c>
      <c r="G56" s="570">
        <f t="shared" si="2"/>
        <v>62</v>
      </c>
      <c r="H56" s="570">
        <f>'6 месяцев'!I54+'6 месяцев'!L54+'июль (2)'!I54+'июль (2)'!L54</f>
        <v>62</v>
      </c>
      <c r="I56" s="570">
        <f>'6 месяцев'!J54+'6 месяцев'!M54+'июль (2)'!J54+'июль (2)'!M54</f>
        <v>0</v>
      </c>
      <c r="J56" s="268"/>
    </row>
    <row r="57" spans="1:10" s="290" customFormat="1" ht="15.75" thickBot="1">
      <c r="A57" s="1835"/>
      <c r="B57" s="1844"/>
      <c r="C57" s="303" t="s">
        <v>21</v>
      </c>
      <c r="D57" s="304">
        <v>4000</v>
      </c>
      <c r="E57" s="570">
        <f t="shared" si="0"/>
        <v>438.59400000000011</v>
      </c>
      <c r="F57" s="570">
        <f t="shared" si="1"/>
        <v>10.964850000000002</v>
      </c>
      <c r="G57" s="570">
        <f t="shared" si="2"/>
        <v>438.59400000000011</v>
      </c>
      <c r="H57" s="570">
        <f>'6 месяцев'!I55+'6 месяцев'!L55+'июль (2)'!I55+'июль (2)'!L55</f>
        <v>438.59400000000011</v>
      </c>
      <c r="I57" s="570">
        <f>'6 месяцев'!J55+'6 месяцев'!M55+'июль (2)'!J55+'июль (2)'!M55</f>
        <v>0</v>
      </c>
      <c r="J57" s="268"/>
    </row>
    <row r="58" spans="1:10" s="290" customFormat="1" ht="15.75" thickBot="1">
      <c r="A58" s="1838" t="s">
        <v>237</v>
      </c>
      <c r="B58" s="1854" t="s">
        <v>238</v>
      </c>
      <c r="C58" s="305" t="s">
        <v>24</v>
      </c>
      <c r="D58" s="306">
        <v>0.53870000000000018</v>
      </c>
      <c r="E58" s="570">
        <f t="shared" si="0"/>
        <v>7.0250000000000007E-2</v>
      </c>
      <c r="F58" s="570">
        <f t="shared" si="1"/>
        <v>13.040653424911822</v>
      </c>
      <c r="G58" s="570">
        <f t="shared" si="2"/>
        <v>7.0250000000000007E-2</v>
      </c>
      <c r="H58" s="570">
        <f>'6 месяцев'!I56+'6 месяцев'!L56+'июль (2)'!I56+'июль (2)'!L56</f>
        <v>7.0250000000000007E-2</v>
      </c>
      <c r="I58" s="570">
        <f>'6 месяцев'!J56+'6 месяцев'!M56+'июль (2)'!J56+'июль (2)'!M56</f>
        <v>0</v>
      </c>
      <c r="J58" s="268"/>
    </row>
    <row r="59" spans="1:10" s="290" customFormat="1" ht="15.75" thickBot="1">
      <c r="A59" s="1839"/>
      <c r="B59" s="1855"/>
      <c r="C59" s="308" t="s">
        <v>21</v>
      </c>
      <c r="D59" s="309">
        <v>341.76400000000001</v>
      </c>
      <c r="E59" s="570">
        <f t="shared" si="0"/>
        <v>74.986000000000004</v>
      </c>
      <c r="F59" s="570">
        <f t="shared" si="1"/>
        <v>21.940871478564155</v>
      </c>
      <c r="G59" s="570">
        <f t="shared" si="2"/>
        <v>74.986000000000004</v>
      </c>
      <c r="H59" s="570">
        <f>'6 месяцев'!I57+'6 месяцев'!L57+'июль (2)'!I57+'июль (2)'!L57</f>
        <v>74.986000000000004</v>
      </c>
      <c r="I59" s="570">
        <f>'6 месяцев'!J57+'6 месяцев'!M57+'июль (2)'!J57+'июль (2)'!M57</f>
        <v>0</v>
      </c>
      <c r="J59" s="268"/>
    </row>
    <row r="60" spans="1:10" s="290" customFormat="1" ht="15.75" thickBot="1">
      <c r="A60" s="1830" t="s">
        <v>146</v>
      </c>
      <c r="B60" s="1856" t="s">
        <v>239</v>
      </c>
      <c r="C60" s="313" t="s">
        <v>47</v>
      </c>
      <c r="D60" s="312">
        <v>6</v>
      </c>
      <c r="E60" s="570">
        <f t="shared" si="0"/>
        <v>2</v>
      </c>
      <c r="F60" s="570">
        <f t="shared" si="1"/>
        <v>33.333333333333329</v>
      </c>
      <c r="G60" s="570">
        <f t="shared" si="2"/>
        <v>2</v>
      </c>
      <c r="H60" s="570">
        <f>'6 месяцев'!I58+'6 месяцев'!L58+'июль (2)'!I58+'июль (2)'!L58</f>
        <v>2</v>
      </c>
      <c r="I60" s="570">
        <f>'6 месяцев'!J58+'6 месяцев'!M58+'июль (2)'!J58+'июль (2)'!M58</f>
        <v>0</v>
      </c>
      <c r="J60" s="268"/>
    </row>
    <row r="61" spans="1:10" s="290" customFormat="1" ht="15.75" thickBot="1">
      <c r="A61" s="1831"/>
      <c r="B61" s="1857"/>
      <c r="C61" s="314" t="s">
        <v>21</v>
      </c>
      <c r="D61" s="304">
        <v>24</v>
      </c>
      <c r="E61" s="570">
        <f t="shared" si="0"/>
        <v>4.7679999999999998</v>
      </c>
      <c r="F61" s="570">
        <f t="shared" si="1"/>
        <v>19.866666666666667</v>
      </c>
      <c r="G61" s="570">
        <f t="shared" si="2"/>
        <v>4.7679999999999998</v>
      </c>
      <c r="H61" s="570">
        <f>'6 месяцев'!I59+'6 месяцев'!L59+'июль (2)'!I59+'июль (2)'!L59</f>
        <v>4.7679999999999998</v>
      </c>
      <c r="I61" s="570">
        <f>'6 месяцев'!J59+'6 месяцев'!M59+'июль (2)'!J59+'июль (2)'!M59</f>
        <v>0</v>
      </c>
      <c r="J61" s="268"/>
    </row>
    <row r="62" spans="1:10" s="290" customFormat="1" ht="15.75" thickBot="1">
      <c r="A62" s="1838" t="s">
        <v>240</v>
      </c>
      <c r="B62" s="1840" t="s">
        <v>74</v>
      </c>
      <c r="C62" s="305" t="s">
        <v>47</v>
      </c>
      <c r="D62" s="306">
        <v>0</v>
      </c>
      <c r="E62" s="570">
        <f t="shared" si="0"/>
        <v>0</v>
      </c>
      <c r="F62" s="570">
        <v>0</v>
      </c>
      <c r="G62" s="570">
        <f t="shared" si="2"/>
        <v>0</v>
      </c>
      <c r="H62" s="570">
        <f>'6 месяцев'!I60+'6 месяцев'!L60+'июль (2)'!I60+'июль (2)'!L60</f>
        <v>0</v>
      </c>
      <c r="I62" s="570">
        <f>'6 месяцев'!J60+'6 месяцев'!M60+'июль (2)'!J60+'июль (2)'!M60</f>
        <v>0</v>
      </c>
      <c r="J62" s="268"/>
    </row>
    <row r="63" spans="1:10" ht="15.75" thickBot="1">
      <c r="A63" s="1839"/>
      <c r="B63" s="1841"/>
      <c r="C63" s="308" t="s">
        <v>21</v>
      </c>
      <c r="D63" s="309">
        <v>0</v>
      </c>
      <c r="E63" s="570">
        <f t="shared" si="0"/>
        <v>0</v>
      </c>
      <c r="F63" s="570">
        <v>0</v>
      </c>
      <c r="G63" s="570">
        <f t="shared" si="2"/>
        <v>0</v>
      </c>
      <c r="H63" s="570">
        <f>'6 месяцев'!I61+'6 месяцев'!L61+'июль (2)'!I61+'июль (2)'!L61</f>
        <v>0</v>
      </c>
      <c r="I63" s="570">
        <f>'6 месяцев'!J61+'6 месяцев'!M61+'июль (2)'!J61+'июль (2)'!M61</f>
        <v>0</v>
      </c>
    </row>
    <row r="64" spans="1:10" s="290" customFormat="1" ht="15.75" thickBot="1">
      <c r="A64" s="1842" t="s">
        <v>161</v>
      </c>
      <c r="B64" s="1843" t="s">
        <v>75</v>
      </c>
      <c r="C64" s="311" t="s">
        <v>241</v>
      </c>
      <c r="D64" s="312">
        <v>0</v>
      </c>
      <c r="E64" s="570">
        <f t="shared" si="0"/>
        <v>0</v>
      </c>
      <c r="F64" s="570">
        <v>0</v>
      </c>
      <c r="G64" s="570">
        <f t="shared" si="2"/>
        <v>0</v>
      </c>
      <c r="H64" s="570">
        <f>'6 месяцев'!I62+'6 месяцев'!L62+'июль (2)'!I62+'июль (2)'!L62</f>
        <v>0</v>
      </c>
      <c r="I64" s="570">
        <f>'6 месяцев'!J62+'6 месяцев'!M62+'июль (2)'!J62+'июль (2)'!M62</f>
        <v>0</v>
      </c>
      <c r="J64" s="268"/>
    </row>
    <row r="65" spans="1:10" s="290" customFormat="1" ht="15.75" thickBot="1">
      <c r="A65" s="1835"/>
      <c r="B65" s="1844"/>
      <c r="C65" s="303" t="s">
        <v>21</v>
      </c>
      <c r="D65" s="304">
        <v>0</v>
      </c>
      <c r="E65" s="570">
        <f t="shared" si="0"/>
        <v>0</v>
      </c>
      <c r="F65" s="570">
        <v>0</v>
      </c>
      <c r="G65" s="570">
        <f t="shared" si="2"/>
        <v>0</v>
      </c>
      <c r="H65" s="570">
        <f>'6 месяцев'!I63+'6 месяцев'!L63+'июль (2)'!I63+'июль (2)'!L63</f>
        <v>0</v>
      </c>
      <c r="I65" s="570">
        <f>'6 месяцев'!J63+'6 месяцев'!M63+'июль (2)'!J63+'июль (2)'!M63</f>
        <v>0</v>
      </c>
      <c r="J65" s="268"/>
    </row>
    <row r="66" spans="1:10" s="290" customFormat="1" ht="15.75" thickBot="1">
      <c r="A66" s="1838" t="s">
        <v>165</v>
      </c>
      <c r="B66" s="1845" t="s">
        <v>76</v>
      </c>
      <c r="C66" s="305" t="s">
        <v>47</v>
      </c>
      <c r="D66" s="307">
        <v>0</v>
      </c>
      <c r="E66" s="570">
        <f t="shared" si="0"/>
        <v>1</v>
      </c>
      <c r="F66" s="570">
        <v>0</v>
      </c>
      <c r="G66" s="570">
        <f t="shared" si="2"/>
        <v>1</v>
      </c>
      <c r="H66" s="570">
        <f>'6 месяцев'!I64+'6 месяцев'!L64+'июль (2)'!I64+'июль (2)'!L64</f>
        <v>1</v>
      </c>
      <c r="I66" s="570">
        <f>'6 месяцев'!J64+'6 месяцев'!M64+'июль (2)'!J64+'июль (2)'!M64</f>
        <v>0</v>
      </c>
      <c r="J66" s="268"/>
    </row>
    <row r="67" spans="1:10" s="290" customFormat="1" ht="15.75" thickBot="1">
      <c r="A67" s="1839"/>
      <c r="B67" s="1846"/>
      <c r="C67" s="308" t="s">
        <v>21</v>
      </c>
      <c r="D67" s="310">
        <v>0</v>
      </c>
      <c r="E67" s="570">
        <f t="shared" si="0"/>
        <v>13.766999999999999</v>
      </c>
      <c r="F67" s="570">
        <v>0</v>
      </c>
      <c r="G67" s="570">
        <f t="shared" si="2"/>
        <v>13.766999999999999</v>
      </c>
      <c r="H67" s="570">
        <f>'6 месяцев'!I65+'6 месяцев'!L65+'июль (2)'!I65+'июль (2)'!L65</f>
        <v>13.766999999999999</v>
      </c>
      <c r="I67" s="570">
        <f>'6 месяцев'!J65+'6 месяцев'!M65+'июль (2)'!J65+'июль (2)'!M65</f>
        <v>0</v>
      </c>
      <c r="J67" s="268"/>
    </row>
    <row r="68" spans="1:10" s="290" customFormat="1" ht="15.75" thickBot="1">
      <c r="A68" s="1842" t="s">
        <v>242</v>
      </c>
      <c r="B68" s="1843" t="s">
        <v>77</v>
      </c>
      <c r="C68" s="311" t="s">
        <v>47</v>
      </c>
      <c r="D68" s="312">
        <v>10</v>
      </c>
      <c r="E68" s="570">
        <f t="shared" si="0"/>
        <v>8</v>
      </c>
      <c r="F68" s="570">
        <f t="shared" si="1"/>
        <v>80</v>
      </c>
      <c r="G68" s="570">
        <f t="shared" si="2"/>
        <v>8</v>
      </c>
      <c r="H68" s="570">
        <f>'6 месяцев'!I66+'6 месяцев'!L66+'июль (2)'!I66+'июль (2)'!L66</f>
        <v>8</v>
      </c>
      <c r="I68" s="570">
        <f>'6 месяцев'!J66+'6 месяцев'!M66+'июль (2)'!J66+'июль (2)'!M66</f>
        <v>0</v>
      </c>
      <c r="J68" s="268"/>
    </row>
    <row r="69" spans="1:10" s="290" customFormat="1" ht="15.75" thickBot="1">
      <c r="A69" s="1835"/>
      <c r="B69" s="1844"/>
      <c r="C69" s="303" t="s">
        <v>21</v>
      </c>
      <c r="D69" s="304">
        <v>1.5</v>
      </c>
      <c r="E69" s="570">
        <f t="shared" si="0"/>
        <v>10.434000000000001</v>
      </c>
      <c r="F69" s="570">
        <f t="shared" si="1"/>
        <v>695.6</v>
      </c>
      <c r="G69" s="570">
        <f t="shared" si="2"/>
        <v>10.434000000000001</v>
      </c>
      <c r="H69" s="570">
        <f>'6 месяцев'!I67+'6 месяцев'!L67+'июль (2)'!I67+'июль (2)'!L67</f>
        <v>10.434000000000001</v>
      </c>
      <c r="I69" s="570">
        <f>'6 месяцев'!J67+'6 месяцев'!M67+'июль (2)'!J67+'июль (2)'!M67</f>
        <v>0</v>
      </c>
      <c r="J69" s="268"/>
    </row>
    <row r="70" spans="1:10" s="290" customFormat="1" ht="15.75" thickBot="1">
      <c r="A70" s="1838" t="s">
        <v>243</v>
      </c>
      <c r="B70" s="1845" t="s">
        <v>78</v>
      </c>
      <c r="C70" s="305" t="s">
        <v>244</v>
      </c>
      <c r="D70" s="306">
        <v>0</v>
      </c>
      <c r="E70" s="570">
        <f t="shared" si="0"/>
        <v>0</v>
      </c>
      <c r="F70" s="570">
        <v>0</v>
      </c>
      <c r="G70" s="570">
        <f t="shared" si="2"/>
        <v>0</v>
      </c>
      <c r="H70" s="570">
        <f>'6 месяцев'!I68+'6 месяцев'!L68+'июль (2)'!I68+'июль (2)'!L68</f>
        <v>0</v>
      </c>
      <c r="I70" s="570">
        <f>'6 месяцев'!J68+'6 месяцев'!M68+'июль (2)'!J68+'июль (2)'!M68</f>
        <v>0</v>
      </c>
      <c r="J70" s="268"/>
    </row>
    <row r="71" spans="1:10" s="290" customFormat="1" ht="15.75" thickBot="1">
      <c r="A71" s="1839"/>
      <c r="B71" s="1846"/>
      <c r="C71" s="308" t="s">
        <v>21</v>
      </c>
      <c r="D71" s="309">
        <v>0</v>
      </c>
      <c r="E71" s="570">
        <f t="shared" si="0"/>
        <v>0</v>
      </c>
      <c r="F71" s="570">
        <v>0</v>
      </c>
      <c r="G71" s="570">
        <f t="shared" si="2"/>
        <v>0</v>
      </c>
      <c r="H71" s="570">
        <f>'6 месяцев'!I69+'6 месяцев'!L69+'июль (2)'!I69+'июль (2)'!L69</f>
        <v>0</v>
      </c>
      <c r="I71" s="570">
        <f>'6 месяцев'!J69+'6 месяцев'!M69+'июль (2)'!J69+'июль (2)'!M69</f>
        <v>0</v>
      </c>
      <c r="J71" s="268"/>
    </row>
    <row r="72" spans="1:10" s="290" customFormat="1" ht="15.75" thickBot="1">
      <c r="A72" s="1847" t="s">
        <v>245</v>
      </c>
      <c r="B72" s="1849" t="s">
        <v>80</v>
      </c>
      <c r="C72" s="292" t="s">
        <v>241</v>
      </c>
      <c r="D72" s="293">
        <v>1.8181818181818181</v>
      </c>
      <c r="E72" s="570">
        <f t="shared" si="0"/>
        <v>0</v>
      </c>
      <c r="F72" s="570">
        <f t="shared" si="1"/>
        <v>0</v>
      </c>
      <c r="G72" s="570">
        <f t="shared" si="2"/>
        <v>0</v>
      </c>
      <c r="H72" s="570">
        <f>'6 месяцев'!I70+'6 месяцев'!L70+'июль (2)'!I70+'июль (2)'!L70</f>
        <v>0</v>
      </c>
      <c r="I72" s="570">
        <f>'6 месяцев'!J70+'6 месяцев'!M70+'июль (2)'!J70+'июль (2)'!M70</f>
        <v>0</v>
      </c>
      <c r="J72" s="268"/>
    </row>
    <row r="73" spans="1:10" s="290" customFormat="1" ht="15.75" thickBot="1">
      <c r="A73" s="1848"/>
      <c r="B73" s="1846"/>
      <c r="C73" s="308" t="s">
        <v>21</v>
      </c>
      <c r="D73" s="309">
        <v>2000</v>
      </c>
      <c r="E73" s="570">
        <f t="shared" si="0"/>
        <v>0</v>
      </c>
      <c r="F73" s="570">
        <f t="shared" si="1"/>
        <v>0</v>
      </c>
      <c r="G73" s="570">
        <f t="shared" si="2"/>
        <v>0</v>
      </c>
      <c r="H73" s="570">
        <f>'6 месяцев'!I71+'6 месяцев'!L71+'июль (2)'!I71+'июль (2)'!L71</f>
        <v>0</v>
      </c>
      <c r="I73" s="570">
        <f>'6 месяцев'!J71+'6 месяцев'!M71+'июль (2)'!J71+'июль (2)'!M71</f>
        <v>0</v>
      </c>
      <c r="J73" s="268"/>
    </row>
    <row r="74" spans="1:10" s="290" customFormat="1" ht="15.75" thickBot="1">
      <c r="A74" s="315" t="s">
        <v>81</v>
      </c>
      <c r="B74" s="316" t="s">
        <v>82</v>
      </c>
      <c r="C74" s="317" t="s">
        <v>21</v>
      </c>
      <c r="D74" s="318">
        <v>33260</v>
      </c>
      <c r="E74" s="604">
        <f t="shared" si="0"/>
        <v>4938.1714999999995</v>
      </c>
      <c r="F74" s="570">
        <f t="shared" si="1"/>
        <v>14.847178292242932</v>
      </c>
      <c r="G74" s="570">
        <f t="shared" si="2"/>
        <v>4938.1714999999995</v>
      </c>
      <c r="H74" s="570">
        <f>'6 месяцев'!I72+'6 месяцев'!L72+'июль (2)'!I72+'июль (2)'!L72</f>
        <v>4938.1714999999995</v>
      </c>
      <c r="I74" s="570">
        <f>'6 месяцев'!J72+'6 месяцев'!M72+'июль (2)'!J72+'июль (2)'!M72</f>
        <v>0</v>
      </c>
      <c r="J74" s="268"/>
    </row>
    <row r="75" spans="1:10" s="290" customFormat="1" ht="15.75" thickBot="1">
      <c r="A75" s="1850" t="s">
        <v>104</v>
      </c>
      <c r="B75" s="1852" t="s">
        <v>246</v>
      </c>
      <c r="C75" s="319" t="s">
        <v>51</v>
      </c>
      <c r="D75" s="320">
        <v>17.100000000000001</v>
      </c>
      <c r="E75" s="605">
        <f t="shared" si="0"/>
        <v>3.2745999999999995</v>
      </c>
      <c r="F75" s="570">
        <f t="shared" si="1"/>
        <v>19.149707602339177</v>
      </c>
      <c r="G75" s="570">
        <f t="shared" si="2"/>
        <v>3.2745999999999995</v>
      </c>
      <c r="H75" s="570">
        <f>'6 месяцев'!I73+'6 месяцев'!L73+'июль (2)'!I73+'июль (2)'!L73</f>
        <v>3.2745999999999995</v>
      </c>
      <c r="I75" s="570">
        <f>'6 месяцев'!J73+'6 месяцев'!M73+'июль (2)'!J73+'июль (2)'!M73</f>
        <v>0</v>
      </c>
      <c r="J75" s="268"/>
    </row>
    <row r="76" spans="1:10" s="290" customFormat="1" ht="15.75" thickBot="1">
      <c r="A76" s="1851"/>
      <c r="B76" s="1853"/>
      <c r="C76" s="288" t="s">
        <v>21</v>
      </c>
      <c r="D76" s="321">
        <v>29460</v>
      </c>
      <c r="E76" s="605">
        <f t="shared" si="0"/>
        <v>3815.3734999999997</v>
      </c>
      <c r="F76" s="570">
        <f t="shared" si="1"/>
        <v>12.951030210454853</v>
      </c>
      <c r="G76" s="570">
        <f t="shared" si="2"/>
        <v>3815.3734999999997</v>
      </c>
      <c r="H76" s="570">
        <f>'6 месяцев'!I74+'6 месяцев'!L74+'июль (2)'!I74+'июль (2)'!L74</f>
        <v>3815.3734999999997</v>
      </c>
      <c r="I76" s="570">
        <f>'6 месяцев'!J74+'6 месяцев'!M74+'июль (2)'!J74+'июль (2)'!M74</f>
        <v>0</v>
      </c>
      <c r="J76" s="268"/>
    </row>
    <row r="77" spans="1:10" ht="15.75" thickBot="1">
      <c r="A77" s="1834" t="s">
        <v>247</v>
      </c>
      <c r="B77" s="1836" t="s">
        <v>86</v>
      </c>
      <c r="C77" s="292" t="s">
        <v>87</v>
      </c>
      <c r="D77" s="293">
        <v>5</v>
      </c>
      <c r="E77" s="570">
        <f t="shared" si="0"/>
        <v>0.25649999999999995</v>
      </c>
      <c r="F77" s="570">
        <f t="shared" si="1"/>
        <v>5.129999999999999</v>
      </c>
      <c r="G77" s="570">
        <f t="shared" si="2"/>
        <v>0.25649999999999995</v>
      </c>
      <c r="H77" s="570">
        <f>'6 месяцев'!I75+'6 месяцев'!L75+'июль (2)'!I75+'июль (2)'!L75</f>
        <v>0.25649999999999995</v>
      </c>
      <c r="I77" s="570">
        <f>'6 месяцев'!J75+'6 месяцев'!M75+'июль (2)'!J75+'июль (2)'!M75</f>
        <v>0</v>
      </c>
    </row>
    <row r="78" spans="1:10" ht="15.75" thickBot="1">
      <c r="A78" s="1834"/>
      <c r="B78" s="1836"/>
      <c r="C78" s="292" t="s">
        <v>21</v>
      </c>
      <c r="D78" s="293">
        <v>8500</v>
      </c>
      <c r="E78" s="570">
        <f t="shared" si="0"/>
        <v>203.39600000000004</v>
      </c>
      <c r="F78" s="570">
        <f t="shared" si="1"/>
        <v>2.3928941176470593</v>
      </c>
      <c r="G78" s="570">
        <f t="shared" si="2"/>
        <v>203.39600000000004</v>
      </c>
      <c r="H78" s="570">
        <f>'6 месяцев'!I76+'6 месяцев'!L76+'июль (2)'!I76+'июль (2)'!L76</f>
        <v>203.39600000000004</v>
      </c>
      <c r="I78" s="570">
        <f>'6 месяцев'!J76+'6 месяцев'!M76+'июль (2)'!J76+'июль (2)'!M76</f>
        <v>0</v>
      </c>
    </row>
    <row r="79" spans="1:10" ht="15.75" thickBot="1">
      <c r="A79" s="1834" t="s">
        <v>248</v>
      </c>
      <c r="B79" s="1836" t="s">
        <v>89</v>
      </c>
      <c r="C79" s="292" t="s">
        <v>51</v>
      </c>
      <c r="D79" s="293">
        <v>4.9000000000000004</v>
      </c>
      <c r="E79" s="570">
        <f t="shared" si="0"/>
        <v>1.0388000000000002</v>
      </c>
      <c r="F79" s="570">
        <f t="shared" si="1"/>
        <v>21.200000000000003</v>
      </c>
      <c r="G79" s="570">
        <f t="shared" si="2"/>
        <v>1.0388000000000002</v>
      </c>
      <c r="H79" s="570">
        <f>'6 месяцев'!I77+'6 месяцев'!L77+'июль (2)'!I77+'июль (2)'!L77</f>
        <v>1.0388000000000002</v>
      </c>
      <c r="I79" s="570">
        <f>'6 месяцев'!J77+'6 месяцев'!M77+'июль (2)'!J77+'июль (2)'!M77</f>
        <v>0</v>
      </c>
    </row>
    <row r="80" spans="1:10" ht="15.75" thickBot="1">
      <c r="A80" s="1834"/>
      <c r="B80" s="1836"/>
      <c r="C80" s="292" t="s">
        <v>21</v>
      </c>
      <c r="D80" s="293">
        <v>8330</v>
      </c>
      <c r="E80" s="570">
        <f t="shared" ref="E80:E100" si="3">G80</f>
        <v>858.15300000000002</v>
      </c>
      <c r="F80" s="570">
        <f t="shared" ref="F80:F100" si="4">E80/D80*100</f>
        <v>10.301956782713086</v>
      </c>
      <c r="G80" s="570">
        <f t="shared" ref="G80:G100" si="5">H80+I80</f>
        <v>858.15300000000002</v>
      </c>
      <c r="H80" s="570">
        <f>'6 месяцев'!I78+'6 месяцев'!L78+'июль (2)'!I78+'июль (2)'!L78</f>
        <v>858.15300000000002</v>
      </c>
      <c r="I80" s="570">
        <f>'6 месяцев'!J78+'6 месяцев'!M78+'июль (2)'!J78+'июль (2)'!M78</f>
        <v>0</v>
      </c>
    </row>
    <row r="81" spans="1:10" ht="15.75" thickBot="1">
      <c r="A81" s="1834" t="s">
        <v>249</v>
      </c>
      <c r="B81" s="1836" t="s">
        <v>91</v>
      </c>
      <c r="C81" s="292" t="s">
        <v>51</v>
      </c>
      <c r="D81" s="293">
        <v>3.3</v>
      </c>
      <c r="E81" s="570">
        <f t="shared" si="3"/>
        <v>0.92299999999999971</v>
      </c>
      <c r="F81" s="570">
        <f t="shared" si="4"/>
        <v>27.969696969696962</v>
      </c>
      <c r="G81" s="570">
        <f t="shared" si="5"/>
        <v>0.92299999999999971</v>
      </c>
      <c r="H81" s="570">
        <f>'6 месяцев'!I79+'6 месяцев'!L79+'июль (2)'!I79+'июль (2)'!L79</f>
        <v>0.92299999999999971</v>
      </c>
      <c r="I81" s="570">
        <f>'6 месяцев'!J79+'6 месяцев'!M79+'июль (2)'!J79+'июль (2)'!M79</f>
        <v>0</v>
      </c>
    </row>
    <row r="82" spans="1:10" ht="15.75" thickBot="1">
      <c r="A82" s="1834"/>
      <c r="B82" s="1836"/>
      <c r="C82" s="292" t="s">
        <v>21</v>
      </c>
      <c r="D82" s="293">
        <v>5610</v>
      </c>
      <c r="E82" s="570">
        <f t="shared" si="3"/>
        <v>829.58299999999986</v>
      </c>
      <c r="F82" s="570">
        <f t="shared" si="4"/>
        <v>14.787575757575755</v>
      </c>
      <c r="G82" s="570">
        <f t="shared" si="5"/>
        <v>829.58299999999986</v>
      </c>
      <c r="H82" s="570">
        <f>'6 месяцев'!I80+'6 месяцев'!L80+'июль (2)'!I80+'июль (2)'!L80</f>
        <v>829.58299999999986</v>
      </c>
      <c r="I82" s="570">
        <f>'6 месяцев'!J80+'6 месяцев'!M80+'июль (2)'!J80+'июль (2)'!M80</f>
        <v>0</v>
      </c>
    </row>
    <row r="83" spans="1:10" ht="15.75" thickBot="1">
      <c r="A83" s="1834" t="s">
        <v>250</v>
      </c>
      <c r="B83" s="1836" t="s">
        <v>93</v>
      </c>
      <c r="C83" s="292" t="s">
        <v>51</v>
      </c>
      <c r="D83" s="293">
        <v>3.9</v>
      </c>
      <c r="E83" s="570">
        <f t="shared" si="3"/>
        <v>1.0563000000000002</v>
      </c>
      <c r="F83" s="570">
        <f t="shared" si="4"/>
        <v>27.08461538461539</v>
      </c>
      <c r="G83" s="570">
        <f t="shared" si="5"/>
        <v>1.0563000000000002</v>
      </c>
      <c r="H83" s="570">
        <f>'6 месяцев'!I81+'6 месяцев'!L81+'июль (2)'!I81+'июль (2)'!L81</f>
        <v>1.0563000000000002</v>
      </c>
      <c r="I83" s="570">
        <f>'6 месяцев'!J81+'6 месяцев'!M81+'июль (2)'!J81+'июль (2)'!M81</f>
        <v>0</v>
      </c>
    </row>
    <row r="84" spans="1:10" ht="15.75" thickBot="1">
      <c r="A84" s="1835"/>
      <c r="B84" s="1837"/>
      <c r="C84" s="303" t="s">
        <v>21</v>
      </c>
      <c r="D84" s="322">
        <v>7020</v>
      </c>
      <c r="E84" s="570">
        <f t="shared" si="3"/>
        <v>1924.2415000000001</v>
      </c>
      <c r="F84" s="570">
        <f t="shared" si="4"/>
        <v>27.410847578347582</v>
      </c>
      <c r="G84" s="570">
        <f t="shared" si="5"/>
        <v>1924.2415000000001</v>
      </c>
      <c r="H84" s="570">
        <f>'6 месяцев'!I82+'6 месяцев'!L82+'июль (2)'!I82+'июль (2)'!L82</f>
        <v>1924.2415000000001</v>
      </c>
      <c r="I84" s="570">
        <f>'6 месяцев'!J82+'6 месяцев'!M82+'июль (2)'!J82+'июль (2)'!M82</f>
        <v>0</v>
      </c>
    </row>
    <row r="85" spans="1:10" ht="15.75" thickBot="1">
      <c r="A85" s="1838" t="s">
        <v>108</v>
      </c>
      <c r="B85" s="1840" t="s">
        <v>94</v>
      </c>
      <c r="C85" s="305" t="s">
        <v>47</v>
      </c>
      <c r="D85" s="306">
        <v>300</v>
      </c>
      <c r="E85" s="570">
        <f t="shared" si="3"/>
        <v>95</v>
      </c>
      <c r="F85" s="570">
        <f t="shared" si="4"/>
        <v>31.666666666666664</v>
      </c>
      <c r="G85" s="570">
        <f t="shared" si="5"/>
        <v>95</v>
      </c>
      <c r="H85" s="570">
        <f>'6 месяцев'!I83+'6 месяцев'!L83+'июль (2)'!I83+'июль (2)'!L83</f>
        <v>95</v>
      </c>
      <c r="I85" s="570">
        <f>'6 месяцев'!J83+'6 месяцев'!M83+'июль (2)'!J83+'июль (2)'!M83</f>
        <v>0</v>
      </c>
    </row>
    <row r="86" spans="1:10" ht="15.75" thickBot="1">
      <c r="A86" s="1839"/>
      <c r="B86" s="1841"/>
      <c r="C86" s="308" t="s">
        <v>21</v>
      </c>
      <c r="D86" s="309">
        <v>2000</v>
      </c>
      <c r="E86" s="570">
        <f t="shared" si="3"/>
        <v>579.57899999999995</v>
      </c>
      <c r="F86" s="570">
        <f t="shared" si="4"/>
        <v>28.978949999999998</v>
      </c>
      <c r="G86" s="570">
        <f t="shared" si="5"/>
        <v>579.57899999999995</v>
      </c>
      <c r="H86" s="570">
        <f>'6 месяцев'!I84+'6 месяцев'!L84+'июль (2)'!I84+'июль (2)'!L84</f>
        <v>579.57899999999995</v>
      </c>
      <c r="I86" s="570">
        <f>'6 месяцев'!J84+'6 месяцев'!M84+'июль (2)'!J84+'июль (2)'!M84</f>
        <v>0</v>
      </c>
    </row>
    <row r="87" spans="1:10" ht="15.75" thickBot="1">
      <c r="A87" s="1842" t="s">
        <v>109</v>
      </c>
      <c r="B87" s="1843" t="s">
        <v>251</v>
      </c>
      <c r="C87" s="311" t="s">
        <v>47</v>
      </c>
      <c r="D87" s="312">
        <v>1400</v>
      </c>
      <c r="E87" s="570">
        <f t="shared" si="3"/>
        <v>537</v>
      </c>
      <c r="F87" s="570">
        <f t="shared" si="4"/>
        <v>38.357142857142854</v>
      </c>
      <c r="G87" s="570">
        <f t="shared" si="5"/>
        <v>537</v>
      </c>
      <c r="H87" s="570">
        <f>'6 месяцев'!I85+'6 месяцев'!L85+'июль (2)'!I85+'июль (2)'!L85</f>
        <v>537</v>
      </c>
      <c r="I87" s="570">
        <f>'6 месяцев'!J85+'6 месяцев'!M85+'июль (2)'!J85+'июль (2)'!M85</f>
        <v>0</v>
      </c>
    </row>
    <row r="88" spans="1:10" ht="15.75" thickBot="1">
      <c r="A88" s="1835"/>
      <c r="B88" s="1844"/>
      <c r="C88" s="303" t="s">
        <v>21</v>
      </c>
      <c r="D88" s="304">
        <v>1800</v>
      </c>
      <c r="E88" s="570">
        <f t="shared" si="3"/>
        <v>543.21899999999994</v>
      </c>
      <c r="F88" s="570">
        <f t="shared" si="4"/>
        <v>30.178833333333333</v>
      </c>
      <c r="G88" s="570">
        <f t="shared" si="5"/>
        <v>543.21899999999994</v>
      </c>
      <c r="H88" s="570">
        <f>'6 месяцев'!I86+'6 месяцев'!L86+'июль (2)'!I86+'июль (2)'!L86</f>
        <v>543.21899999999994</v>
      </c>
      <c r="I88" s="570">
        <f>'6 месяцев'!J86+'6 месяцев'!M86+'июль (2)'!J86+'июль (2)'!M86</f>
        <v>0</v>
      </c>
    </row>
    <row r="89" spans="1:10" s="290" customFormat="1" ht="15.75" thickBot="1">
      <c r="A89" s="323" t="s">
        <v>98</v>
      </c>
      <c r="B89" s="324" t="s">
        <v>99</v>
      </c>
      <c r="C89" s="325" t="s">
        <v>21</v>
      </c>
      <c r="D89" s="326">
        <v>3800</v>
      </c>
      <c r="E89" s="604">
        <f t="shared" si="3"/>
        <v>2613.7239999999993</v>
      </c>
      <c r="F89" s="570">
        <f t="shared" si="4"/>
        <v>68.782210526315765</v>
      </c>
      <c r="G89" s="570">
        <f t="shared" si="5"/>
        <v>2613.7239999999993</v>
      </c>
      <c r="H89" s="570">
        <f>'6 месяцев'!I87+'6 месяцев'!L87+'июль (2)'!I87+'июль (2)'!L87</f>
        <v>2613.7239999999993</v>
      </c>
      <c r="I89" s="570">
        <f>'6 месяцев'!J87+'6 месяцев'!M87+'июль (2)'!J87+'июль (2)'!M87</f>
        <v>0</v>
      </c>
      <c r="J89" s="268"/>
    </row>
    <row r="90" spans="1:10" s="290" customFormat="1" ht="15.75" thickBot="1">
      <c r="A90" s="1822">
        <v>25</v>
      </c>
      <c r="B90" s="1824" t="s">
        <v>252</v>
      </c>
      <c r="C90" s="313" t="s">
        <v>51</v>
      </c>
      <c r="D90" s="327">
        <v>3.5</v>
      </c>
      <c r="E90" s="570">
        <f t="shared" si="3"/>
        <v>1.9270000000000003</v>
      </c>
      <c r="F90" s="570">
        <f t="shared" si="4"/>
        <v>55.057142857142857</v>
      </c>
      <c r="G90" s="570">
        <f t="shared" si="5"/>
        <v>1.9270000000000003</v>
      </c>
      <c r="H90" s="570">
        <f>'6 месяцев'!I88+'6 месяцев'!L88+'июль (2)'!I88+'июль (2)'!L88</f>
        <v>1.9270000000000003</v>
      </c>
      <c r="I90" s="570">
        <f>'6 месяцев'!J88+'6 месяцев'!M88+'июль (2)'!J88+'июль (2)'!M88</f>
        <v>0</v>
      </c>
      <c r="J90" s="268"/>
    </row>
    <row r="91" spans="1:10" s="290" customFormat="1" ht="15.75" thickBot="1">
      <c r="A91" s="1823"/>
      <c r="B91" s="1825"/>
      <c r="C91" s="314" t="s">
        <v>21</v>
      </c>
      <c r="D91" s="328">
        <v>600</v>
      </c>
      <c r="E91" s="570">
        <f t="shared" si="3"/>
        <v>343.89599999999996</v>
      </c>
      <c r="F91" s="570">
        <f t="shared" si="4"/>
        <v>57.315999999999988</v>
      </c>
      <c r="G91" s="570">
        <f t="shared" si="5"/>
        <v>343.89599999999996</v>
      </c>
      <c r="H91" s="570">
        <f>'6 месяцев'!I89+'6 месяцев'!L89+'июль (2)'!I89+'июль (2)'!L89</f>
        <v>343.89599999999996</v>
      </c>
      <c r="I91" s="570">
        <f>'6 месяцев'!J89+'6 месяцев'!M89+'июль (2)'!J89+'июль (2)'!M89</f>
        <v>0</v>
      </c>
      <c r="J91" s="268"/>
    </row>
    <row r="92" spans="1:10" s="290" customFormat="1" ht="15.75" thickBot="1">
      <c r="A92" s="1826">
        <v>26</v>
      </c>
      <c r="B92" s="1828" t="s">
        <v>253</v>
      </c>
      <c r="C92" s="329" t="s">
        <v>47</v>
      </c>
      <c r="D92" s="330">
        <v>2000</v>
      </c>
      <c r="E92" s="570">
        <f t="shared" si="3"/>
        <v>1922</v>
      </c>
      <c r="F92" s="570">
        <f t="shared" si="4"/>
        <v>96.1</v>
      </c>
      <c r="G92" s="570">
        <f t="shared" si="5"/>
        <v>1922</v>
      </c>
      <c r="H92" s="570">
        <f>'6 месяцев'!I90+'6 месяцев'!L90+'июль (2)'!I90+'июль (2)'!L90</f>
        <v>1922</v>
      </c>
      <c r="I92" s="570">
        <f>'6 месяцев'!J90+'6 месяцев'!M90+'июль (2)'!J90+'июль (2)'!M90</f>
        <v>0</v>
      </c>
      <c r="J92" s="268"/>
    </row>
    <row r="93" spans="1:10" s="290" customFormat="1" ht="15.75" thickBot="1">
      <c r="A93" s="1827"/>
      <c r="B93" s="1829"/>
      <c r="C93" s="331" t="s">
        <v>21</v>
      </c>
      <c r="D93" s="332">
        <v>1900</v>
      </c>
      <c r="E93" s="570">
        <f t="shared" si="3"/>
        <v>1819.8959999999995</v>
      </c>
      <c r="F93" s="570">
        <f t="shared" si="4"/>
        <v>95.783999999999963</v>
      </c>
      <c r="G93" s="570">
        <f t="shared" si="5"/>
        <v>1819.8959999999995</v>
      </c>
      <c r="H93" s="570">
        <f>'6 месяцев'!I91+'6 месяцев'!L91+'июль (2)'!I91+'июль (2)'!L91</f>
        <v>1819.8959999999995</v>
      </c>
      <c r="I93" s="570">
        <f>'6 месяцев'!J91+'6 месяцев'!M91+'июль (2)'!J91+'июль (2)'!M91</f>
        <v>0</v>
      </c>
      <c r="J93" s="268"/>
    </row>
    <row r="94" spans="1:10" s="290" customFormat="1" ht="15.75" thickBot="1">
      <c r="A94" s="1830" t="s">
        <v>254</v>
      </c>
      <c r="B94" s="1832" t="s">
        <v>105</v>
      </c>
      <c r="C94" s="313" t="s">
        <v>47</v>
      </c>
      <c r="D94" s="327">
        <v>300</v>
      </c>
      <c r="E94" s="570">
        <f t="shared" si="3"/>
        <v>119</v>
      </c>
      <c r="F94" s="570">
        <f t="shared" si="4"/>
        <v>39.666666666666664</v>
      </c>
      <c r="G94" s="570">
        <f t="shared" si="5"/>
        <v>119</v>
      </c>
      <c r="H94" s="570">
        <f>'6 месяцев'!I92+'6 месяцев'!L92+'июль (2)'!I92+'июль (2)'!L92</f>
        <v>119</v>
      </c>
      <c r="I94" s="570">
        <f>'6 месяцев'!J92+'6 месяцев'!M92+'июль (2)'!J92+'июль (2)'!M92</f>
        <v>0</v>
      </c>
      <c r="J94" s="268"/>
    </row>
    <row r="95" spans="1:10" s="290" customFormat="1" ht="15.75" thickBot="1">
      <c r="A95" s="1831"/>
      <c r="B95" s="1833"/>
      <c r="C95" s="314" t="s">
        <v>21</v>
      </c>
      <c r="D95" s="328">
        <v>2524</v>
      </c>
      <c r="E95" s="570">
        <f t="shared" si="3"/>
        <v>449.93200000000002</v>
      </c>
      <c r="F95" s="570">
        <f t="shared" si="4"/>
        <v>17.826148969889065</v>
      </c>
      <c r="G95" s="570">
        <f t="shared" si="5"/>
        <v>449.93200000000002</v>
      </c>
      <c r="H95" s="570">
        <f>'6 месяцев'!I93+'6 месяцев'!L93+'июль (2)'!I93+'июль (2)'!L93</f>
        <v>449.93200000000002</v>
      </c>
      <c r="I95" s="570">
        <f>'6 месяцев'!J93+'6 месяцев'!M93+'июль (2)'!J93+'июль (2)'!M93</f>
        <v>0</v>
      </c>
      <c r="J95" s="268"/>
    </row>
    <row r="96" spans="1:10" s="290" customFormat="1" ht="43.5" thickBot="1">
      <c r="A96" s="323" t="s">
        <v>106</v>
      </c>
      <c r="B96" s="333" t="s">
        <v>107</v>
      </c>
      <c r="C96" s="334" t="s">
        <v>21</v>
      </c>
      <c r="D96" s="326">
        <v>1224</v>
      </c>
      <c r="E96" s="604">
        <f t="shared" si="3"/>
        <v>0</v>
      </c>
      <c r="F96" s="570">
        <f t="shared" si="4"/>
        <v>0</v>
      </c>
      <c r="G96" s="570">
        <f t="shared" si="5"/>
        <v>0</v>
      </c>
      <c r="H96" s="570">
        <f>'6 месяцев'!I94+'6 месяцев'!L94+'июль (2)'!I94+'июль (2)'!L94</f>
        <v>0</v>
      </c>
      <c r="I96" s="570">
        <f>'6 месяцев'!J94+'6 месяцев'!M94+'июль (2)'!J94+'июль (2)'!M94</f>
        <v>0</v>
      </c>
      <c r="J96" s="268"/>
    </row>
    <row r="97" spans="1:10" s="290" customFormat="1" ht="15.75" thickBot="1">
      <c r="A97" s="335" t="s">
        <v>255</v>
      </c>
      <c r="B97" s="336" t="s">
        <v>256</v>
      </c>
      <c r="C97" s="337" t="s">
        <v>21</v>
      </c>
      <c r="D97" s="338">
        <v>1224</v>
      </c>
      <c r="E97" s="570">
        <f t="shared" si="3"/>
        <v>0</v>
      </c>
      <c r="F97" s="570">
        <f t="shared" si="4"/>
        <v>0</v>
      </c>
      <c r="G97" s="570">
        <f t="shared" si="5"/>
        <v>0</v>
      </c>
      <c r="H97" s="570">
        <f>'6 месяцев'!I95+'6 месяцев'!L95+'июль (2)'!I95+'июль (2)'!L95</f>
        <v>0</v>
      </c>
      <c r="I97" s="570">
        <f>'6 месяцев'!J95+'6 месяцев'!M95+'июль (2)'!J95+'июль (2)'!M95</f>
        <v>0</v>
      </c>
      <c r="J97" s="268"/>
    </row>
    <row r="98" spans="1:10" s="290" customFormat="1" ht="15.75" thickBot="1">
      <c r="A98" s="335" t="s">
        <v>257</v>
      </c>
      <c r="B98" s="336" t="s">
        <v>258</v>
      </c>
      <c r="C98" s="337" t="s">
        <v>21</v>
      </c>
      <c r="D98" s="338">
        <v>0</v>
      </c>
      <c r="E98" s="570">
        <f t="shared" si="3"/>
        <v>0</v>
      </c>
      <c r="F98" s="570">
        <v>0</v>
      </c>
      <c r="G98" s="570">
        <f t="shared" si="5"/>
        <v>0</v>
      </c>
      <c r="H98" s="570">
        <f>'6 месяцев'!I96+'6 месяцев'!L96+'июль (2)'!I96+'июль (2)'!L96</f>
        <v>0</v>
      </c>
      <c r="I98" s="570">
        <f>'6 месяцев'!J96+'6 месяцев'!M96+'июль (2)'!J96+'июль (2)'!M96</f>
        <v>0</v>
      </c>
      <c r="J98" s="268"/>
    </row>
    <row r="99" spans="1:10" s="290" customFormat="1" ht="15.75" thickBot="1">
      <c r="A99" s="315" t="s">
        <v>259</v>
      </c>
      <c r="B99" s="339" t="s">
        <v>111</v>
      </c>
      <c r="C99" s="317" t="s">
        <v>21</v>
      </c>
      <c r="D99" s="340">
        <v>20224.418999999994</v>
      </c>
      <c r="E99" s="604">
        <f t="shared" si="3"/>
        <v>796.70299999999997</v>
      </c>
      <c r="F99" s="570">
        <f t="shared" si="4"/>
        <v>3.9393121750493809</v>
      </c>
      <c r="G99" s="570">
        <f t="shared" si="5"/>
        <v>796.70299999999997</v>
      </c>
      <c r="H99" s="570">
        <f>'6 месяцев'!I97+'6 месяцев'!L97+'июль (2)'!I97+'июль (2)'!L97</f>
        <v>796.70299999999997</v>
      </c>
      <c r="I99" s="570">
        <f>'6 месяцев'!J97+'6 месяцев'!M97+'июль (2)'!J97+'июль (2)'!M97</f>
        <v>0</v>
      </c>
      <c r="J99" s="268"/>
    </row>
    <row r="100" spans="1:10" s="290" customFormat="1" ht="15.75" thickBot="1">
      <c r="A100" s="341"/>
      <c r="B100" s="342" t="s">
        <v>112</v>
      </c>
      <c r="C100" s="343" t="s">
        <v>21</v>
      </c>
      <c r="D100" s="344">
        <v>115881.18489999999</v>
      </c>
      <c r="E100" s="604">
        <f t="shared" si="3"/>
        <v>13850.9195</v>
      </c>
      <c r="F100" s="570">
        <f t="shared" si="4"/>
        <v>11.952690604564228</v>
      </c>
      <c r="G100" s="570">
        <f t="shared" si="5"/>
        <v>13850.9195</v>
      </c>
      <c r="H100" s="570">
        <f>'6 месяцев'!I98+'6 месяцев'!L98+'июль (2)'!I98+'июль (2)'!L98</f>
        <v>13138.843499999999</v>
      </c>
      <c r="I100" s="570">
        <f>'6 месяцев'!J98+'6 месяцев'!M98+'июль (2)'!J98+'июль (2)'!M98</f>
        <v>712.07600000000002</v>
      </c>
      <c r="J100" s="268"/>
    </row>
    <row r="101" spans="1:10" s="290" customFormat="1" ht="15">
      <c r="A101" s="345"/>
      <c r="B101" s="346"/>
      <c r="C101" s="347"/>
      <c r="D101" s="348"/>
      <c r="E101" s="348"/>
      <c r="F101" s="348"/>
      <c r="G101" s="348"/>
      <c r="H101" s="349"/>
      <c r="I101" s="349"/>
    </row>
    <row r="102" spans="1:10" ht="15">
      <c r="A102" s="350"/>
      <c r="B102" s="350"/>
      <c r="C102" s="350"/>
      <c r="D102" s="351"/>
      <c r="E102" s="351"/>
      <c r="F102" s="571"/>
      <c r="G102" s="571"/>
      <c r="H102" s="572"/>
      <c r="I102" s="572"/>
    </row>
    <row r="103" spans="1:10" ht="14.25">
      <c r="A103" s="1821" t="s">
        <v>113</v>
      </c>
      <c r="B103" s="1821"/>
      <c r="C103" s="1821"/>
      <c r="D103" s="1821"/>
      <c r="E103" s="1821"/>
      <c r="F103" s="1821"/>
      <c r="G103" s="1821"/>
      <c r="H103" s="1821"/>
      <c r="I103" s="1821"/>
    </row>
    <row r="104" spans="1:10" ht="14.25">
      <c r="A104" s="599"/>
      <c r="B104" s="599"/>
      <c r="C104" s="599"/>
      <c r="D104" s="599"/>
      <c r="E104" s="599"/>
      <c r="F104" s="573"/>
      <c r="G104" s="573"/>
      <c r="H104" s="573"/>
      <c r="I104" s="573"/>
    </row>
    <row r="105" spans="1:10" ht="14.25">
      <c r="A105" s="599"/>
      <c r="B105" s="599"/>
      <c r="C105" s="599"/>
      <c r="D105" s="599"/>
      <c r="E105" s="599"/>
      <c r="F105" s="573"/>
      <c r="G105" s="573"/>
      <c r="H105" s="573"/>
      <c r="I105" s="573"/>
    </row>
    <row r="106" spans="1:10" ht="15">
      <c r="A106" s="1818" t="s">
        <v>114</v>
      </c>
      <c r="B106" s="1820" t="s">
        <v>127</v>
      </c>
      <c r="C106" s="577" t="s">
        <v>51</v>
      </c>
      <c r="D106" s="576"/>
      <c r="E106" s="576"/>
      <c r="F106" s="576"/>
      <c r="G106" s="578"/>
      <c r="H106" s="575"/>
      <c r="I106" s="292"/>
    </row>
    <row r="107" spans="1:10" ht="15">
      <c r="A107" s="1818"/>
      <c r="B107" s="1820"/>
      <c r="C107" s="577" t="s">
        <v>128</v>
      </c>
      <c r="D107" s="576"/>
      <c r="E107" s="576"/>
      <c r="F107" s="576"/>
      <c r="G107" s="578"/>
      <c r="H107" s="575"/>
      <c r="I107" s="292"/>
    </row>
    <row r="108" spans="1:10" ht="15">
      <c r="A108" s="1818" t="s">
        <v>117</v>
      </c>
      <c r="B108" s="1820" t="s">
        <v>129</v>
      </c>
      <c r="C108" s="577" t="s">
        <v>130</v>
      </c>
      <c r="D108" s="576"/>
      <c r="E108" s="576"/>
      <c r="F108" s="576"/>
      <c r="G108" s="578"/>
      <c r="H108" s="575"/>
      <c r="I108" s="292"/>
    </row>
    <row r="109" spans="1:10" ht="15">
      <c r="A109" s="1818"/>
      <c r="B109" s="1820"/>
      <c r="C109" s="577" t="s">
        <v>21</v>
      </c>
      <c r="D109" s="576"/>
      <c r="E109" s="576"/>
      <c r="F109" s="576"/>
      <c r="G109" s="578"/>
      <c r="H109" s="575"/>
      <c r="I109" s="292"/>
    </row>
    <row r="110" spans="1:10" s="352" customFormat="1" ht="15">
      <c r="A110" s="1818" t="s">
        <v>119</v>
      </c>
      <c r="B110" s="1820" t="s">
        <v>260</v>
      </c>
      <c r="C110" s="579" t="s">
        <v>47</v>
      </c>
      <c r="D110" s="576"/>
      <c r="E110" s="576"/>
      <c r="F110" s="576"/>
      <c r="G110" s="578"/>
      <c r="H110" s="575"/>
      <c r="I110" s="292"/>
    </row>
    <row r="111" spans="1:10" s="352" customFormat="1" ht="15">
      <c r="A111" s="1818"/>
      <c r="B111" s="1820"/>
      <c r="C111" s="579" t="s">
        <v>21</v>
      </c>
      <c r="D111" s="576"/>
      <c r="E111" s="576"/>
      <c r="F111" s="576"/>
      <c r="G111" s="578"/>
      <c r="H111" s="575"/>
      <c r="I111" s="292"/>
    </row>
    <row r="112" spans="1:10" ht="15">
      <c r="A112" s="1818" t="s">
        <v>121</v>
      </c>
      <c r="B112" s="1820" t="s">
        <v>261</v>
      </c>
      <c r="C112" s="577" t="s">
        <v>134</v>
      </c>
      <c r="D112" s="576"/>
      <c r="E112" s="576"/>
      <c r="F112" s="576"/>
      <c r="G112" s="578"/>
      <c r="H112" s="575"/>
      <c r="I112" s="292"/>
    </row>
    <row r="113" spans="1:115" ht="15">
      <c r="A113" s="1818"/>
      <c r="B113" s="1820"/>
      <c r="C113" s="577" t="s">
        <v>21</v>
      </c>
      <c r="D113" s="576"/>
      <c r="E113" s="576"/>
      <c r="F113" s="576"/>
      <c r="G113" s="578"/>
      <c r="H113" s="575"/>
      <c r="I113" s="292"/>
    </row>
    <row r="114" spans="1:115" ht="15">
      <c r="A114" s="595" t="s">
        <v>124</v>
      </c>
      <c r="B114" s="581" t="s">
        <v>137</v>
      </c>
      <c r="C114" s="577" t="s">
        <v>21</v>
      </c>
      <c r="D114" s="576"/>
      <c r="E114" s="576"/>
      <c r="F114" s="576"/>
      <c r="G114" s="578"/>
      <c r="H114" s="292"/>
      <c r="I114" s="292"/>
    </row>
    <row r="115" spans="1:115" ht="15">
      <c r="A115" s="595" t="s">
        <v>262</v>
      </c>
      <c r="B115" s="600" t="s">
        <v>139</v>
      </c>
      <c r="C115" s="577" t="s">
        <v>21</v>
      </c>
      <c r="D115" s="576"/>
      <c r="E115" s="576"/>
      <c r="F115" s="576"/>
      <c r="G115" s="578"/>
      <c r="H115" s="292"/>
      <c r="I115" s="292"/>
    </row>
    <row r="116" spans="1:115" ht="15">
      <c r="A116" s="595" t="s">
        <v>126</v>
      </c>
      <c r="B116" s="581" t="s">
        <v>147</v>
      </c>
      <c r="C116" s="577" t="s">
        <v>21</v>
      </c>
      <c r="D116" s="576"/>
      <c r="E116" s="576"/>
      <c r="F116" s="576"/>
      <c r="G116" s="576"/>
      <c r="H116" s="292"/>
      <c r="I116" s="292"/>
    </row>
    <row r="117" spans="1:115" ht="15">
      <c r="A117" s="582">
        <v>7</v>
      </c>
      <c r="B117" s="598" t="s">
        <v>148</v>
      </c>
      <c r="C117" s="577" t="s">
        <v>21</v>
      </c>
      <c r="D117" s="576"/>
      <c r="E117" s="576"/>
      <c r="F117" s="576"/>
      <c r="G117" s="578"/>
      <c r="H117" s="576"/>
      <c r="I117" s="584"/>
    </row>
    <row r="118" spans="1:115" ht="15">
      <c r="A118" s="585" t="s">
        <v>263</v>
      </c>
      <c r="B118" s="291" t="s">
        <v>150</v>
      </c>
      <c r="C118" s="586" t="s">
        <v>128</v>
      </c>
      <c r="D118" s="321"/>
      <c r="E118" s="321"/>
      <c r="F118" s="576"/>
      <c r="G118" s="578"/>
      <c r="H118" s="576"/>
      <c r="I118" s="584"/>
    </row>
    <row r="119" spans="1:115" ht="15">
      <c r="A119" s="1818" t="s">
        <v>264</v>
      </c>
      <c r="B119" s="1819" t="s">
        <v>152</v>
      </c>
      <c r="C119" s="577" t="s">
        <v>47</v>
      </c>
      <c r="D119" s="576"/>
      <c r="E119" s="576"/>
      <c r="F119" s="576"/>
      <c r="G119" s="578"/>
      <c r="H119" s="292"/>
      <c r="I119" s="292"/>
    </row>
    <row r="120" spans="1:115" ht="15">
      <c r="A120" s="1818"/>
      <c r="B120" s="1819"/>
      <c r="C120" s="577" t="s">
        <v>21</v>
      </c>
      <c r="D120" s="576"/>
      <c r="E120" s="576"/>
      <c r="F120" s="576"/>
      <c r="G120" s="578"/>
      <c r="H120" s="292"/>
      <c r="I120" s="292"/>
    </row>
    <row r="121" spans="1:115" ht="15">
      <c r="A121" s="1818" t="s">
        <v>265</v>
      </c>
      <c r="B121" s="1819" t="s">
        <v>154</v>
      </c>
      <c r="C121" s="577" t="s">
        <v>47</v>
      </c>
      <c r="D121" s="576"/>
      <c r="E121" s="576"/>
      <c r="F121" s="576"/>
      <c r="G121" s="578"/>
      <c r="H121" s="292"/>
      <c r="I121" s="292"/>
    </row>
    <row r="122" spans="1:115" ht="15">
      <c r="A122" s="1818"/>
      <c r="B122" s="1819"/>
      <c r="C122" s="577" t="s">
        <v>21</v>
      </c>
      <c r="D122" s="576"/>
      <c r="E122" s="576"/>
      <c r="F122" s="576"/>
      <c r="G122" s="578"/>
      <c r="H122" s="292"/>
      <c r="I122" s="292"/>
    </row>
    <row r="123" spans="1:115" ht="15">
      <c r="A123" s="1818" t="s">
        <v>266</v>
      </c>
      <c r="B123" s="1819" t="s">
        <v>267</v>
      </c>
      <c r="C123" s="577" t="s">
        <v>47</v>
      </c>
      <c r="D123" s="576"/>
      <c r="E123" s="576"/>
      <c r="F123" s="576"/>
      <c r="G123" s="578"/>
      <c r="H123" s="292"/>
      <c r="I123" s="292"/>
    </row>
    <row r="124" spans="1:115" ht="15">
      <c r="A124" s="1818"/>
      <c r="B124" s="1819"/>
      <c r="C124" s="577" t="s">
        <v>21</v>
      </c>
      <c r="D124" s="576"/>
      <c r="E124" s="576"/>
      <c r="F124" s="576"/>
      <c r="G124" s="578"/>
      <c r="H124" s="292"/>
      <c r="I124" s="292"/>
    </row>
    <row r="125" spans="1:115" ht="15">
      <c r="A125" s="1818" t="s">
        <v>268</v>
      </c>
      <c r="B125" s="1819" t="s">
        <v>160</v>
      </c>
      <c r="C125" s="577" t="s">
        <v>47</v>
      </c>
      <c r="D125" s="576"/>
      <c r="E125" s="576"/>
      <c r="F125" s="576"/>
      <c r="G125" s="578"/>
      <c r="H125" s="292"/>
      <c r="I125" s="292"/>
    </row>
    <row r="126" spans="1:115" ht="15">
      <c r="A126" s="1818"/>
      <c r="B126" s="1819"/>
      <c r="C126" s="577" t="s">
        <v>21</v>
      </c>
      <c r="D126" s="576"/>
      <c r="E126" s="576"/>
      <c r="F126" s="576"/>
      <c r="G126" s="578"/>
      <c r="H126" s="292"/>
      <c r="I126" s="292"/>
    </row>
    <row r="127" spans="1:115" ht="15">
      <c r="A127" s="595" t="s">
        <v>229</v>
      </c>
      <c r="B127" s="596" t="s">
        <v>162</v>
      </c>
      <c r="C127" s="577" t="s">
        <v>21</v>
      </c>
      <c r="D127" s="588"/>
      <c r="E127" s="588"/>
      <c r="F127" s="589"/>
      <c r="G127" s="589"/>
      <c r="H127" s="575"/>
      <c r="I127" s="575"/>
    </row>
    <row r="128" spans="1:115" s="354" customFormat="1" ht="15.75" thickBot="1">
      <c r="A128" s="595" t="s">
        <v>269</v>
      </c>
      <c r="B128" s="596" t="s">
        <v>164</v>
      </c>
      <c r="C128" s="577" t="s">
        <v>21</v>
      </c>
      <c r="D128" s="588"/>
      <c r="E128" s="588"/>
      <c r="F128" s="589"/>
      <c r="G128" s="589"/>
      <c r="H128" s="575"/>
      <c r="I128" s="575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53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 s="353"/>
      <c r="BP128" s="353"/>
      <c r="BQ128" s="353"/>
      <c r="BR128" s="353"/>
      <c r="BS128" s="353"/>
      <c r="BT128" s="353"/>
      <c r="BU128" s="353"/>
      <c r="BV128" s="353"/>
      <c r="BW128" s="353"/>
      <c r="BX128" s="353"/>
      <c r="BY128" s="353"/>
      <c r="BZ128" s="353"/>
      <c r="CA128" s="353"/>
      <c r="CB128" s="353"/>
      <c r="CC128" s="353"/>
      <c r="CD128" s="353"/>
      <c r="CE128" s="353"/>
      <c r="CF128" s="353"/>
      <c r="CG128" s="353"/>
      <c r="CH128" s="353"/>
      <c r="CI128" s="353"/>
      <c r="CJ128" s="353"/>
      <c r="CK128" s="353"/>
      <c r="CL128" s="353"/>
      <c r="CM128" s="353"/>
      <c r="CN128" s="353"/>
      <c r="CO128" s="353"/>
      <c r="CP128" s="353"/>
      <c r="CQ128" s="353"/>
      <c r="CR128" s="353"/>
      <c r="CS128" s="353"/>
      <c r="CT128" s="353"/>
      <c r="CU128" s="353"/>
      <c r="CV128" s="353"/>
      <c r="CW128" s="353"/>
      <c r="CX128" s="353"/>
      <c r="CY128" s="353"/>
      <c r="CZ128" s="353"/>
      <c r="DA128" s="353"/>
      <c r="DB128" s="353"/>
      <c r="DC128" s="353"/>
      <c r="DD128" s="353"/>
      <c r="DE128" s="353"/>
      <c r="DF128" s="353"/>
      <c r="DG128" s="353"/>
      <c r="DH128" s="353"/>
      <c r="DI128" s="353"/>
      <c r="DJ128" s="353"/>
      <c r="DK128" s="353"/>
    </row>
    <row r="129" spans="1:9" ht="15">
      <c r="A129" s="585" t="s">
        <v>231</v>
      </c>
      <c r="B129" s="601" t="s">
        <v>166</v>
      </c>
      <c r="C129" s="586" t="s">
        <v>47</v>
      </c>
      <c r="D129" s="321"/>
      <c r="E129" s="321">
        <f>3308+G129</f>
        <v>3761</v>
      </c>
      <c r="F129" s="576"/>
      <c r="G129" s="576">
        <f>H129+I129</f>
        <v>453</v>
      </c>
      <c r="H129" s="576">
        <v>453</v>
      </c>
      <c r="I129" s="576"/>
    </row>
    <row r="130" spans="1:9" ht="15">
      <c r="A130" s="585"/>
      <c r="B130" s="601" t="s">
        <v>84</v>
      </c>
      <c r="C130" s="586" t="s">
        <v>21</v>
      </c>
      <c r="D130" s="590"/>
      <c r="E130" s="590">
        <f>36.78103+G130</f>
        <v>46.041029999999999</v>
      </c>
      <c r="F130" s="591"/>
      <c r="G130" s="576">
        <f>H130+I130</f>
        <v>9.26</v>
      </c>
      <c r="H130" s="576">
        <v>9.26</v>
      </c>
      <c r="I130" s="576"/>
    </row>
    <row r="131" spans="1:9" ht="15">
      <c r="A131" s="1818" t="s">
        <v>270</v>
      </c>
      <c r="B131" s="1819" t="s">
        <v>168</v>
      </c>
      <c r="C131" s="577" t="s">
        <v>47</v>
      </c>
      <c r="D131" s="576"/>
      <c r="E131" s="576">
        <v>0</v>
      </c>
      <c r="F131" s="576"/>
      <c r="G131" s="576">
        <f t="shared" ref="G131:G146" si="6">H131+I131</f>
        <v>0</v>
      </c>
      <c r="H131" s="576"/>
      <c r="I131" s="576"/>
    </row>
    <row r="132" spans="1:9" ht="15">
      <c r="A132" s="1818"/>
      <c r="B132" s="1819"/>
      <c r="C132" s="577" t="s">
        <v>21</v>
      </c>
      <c r="D132" s="576"/>
      <c r="E132" s="576">
        <v>0</v>
      </c>
      <c r="F132" s="576"/>
      <c r="G132" s="576">
        <f t="shared" si="6"/>
        <v>0</v>
      </c>
      <c r="H132" s="576"/>
      <c r="I132" s="576"/>
    </row>
    <row r="133" spans="1:9" ht="15">
      <c r="A133" s="1818" t="s">
        <v>271</v>
      </c>
      <c r="B133" s="1819" t="s">
        <v>170</v>
      </c>
      <c r="C133" s="577" t="s">
        <v>47</v>
      </c>
      <c r="D133" s="576"/>
      <c r="E133" s="576">
        <v>6</v>
      </c>
      <c r="F133" s="576"/>
      <c r="G133" s="576">
        <f t="shared" si="6"/>
        <v>0</v>
      </c>
      <c r="H133" s="576"/>
      <c r="I133" s="576"/>
    </row>
    <row r="134" spans="1:9" ht="15">
      <c r="A134" s="1818"/>
      <c r="B134" s="1819"/>
      <c r="C134" s="577" t="s">
        <v>21</v>
      </c>
      <c r="D134" s="576"/>
      <c r="E134" s="576">
        <v>2.6105399999999999</v>
      </c>
      <c r="F134" s="576"/>
      <c r="G134" s="576">
        <f t="shared" si="6"/>
        <v>0</v>
      </c>
      <c r="H134" s="576"/>
      <c r="I134" s="576"/>
    </row>
    <row r="135" spans="1:9" ht="15">
      <c r="A135" s="1818" t="s">
        <v>272</v>
      </c>
      <c r="B135" s="1819" t="s">
        <v>172</v>
      </c>
      <c r="C135" s="577" t="s">
        <v>47</v>
      </c>
      <c r="D135" s="576"/>
      <c r="E135" s="576">
        <v>0</v>
      </c>
      <c r="F135" s="576"/>
      <c r="G135" s="576">
        <f t="shared" si="6"/>
        <v>0</v>
      </c>
      <c r="H135" s="576"/>
      <c r="I135" s="576"/>
    </row>
    <row r="136" spans="1:9" ht="15">
      <c r="A136" s="1818"/>
      <c r="B136" s="1819"/>
      <c r="C136" s="577" t="s">
        <v>21</v>
      </c>
      <c r="D136" s="576"/>
      <c r="E136" s="576">
        <v>0</v>
      </c>
      <c r="F136" s="576"/>
      <c r="G136" s="576">
        <f t="shared" si="6"/>
        <v>0</v>
      </c>
      <c r="H136" s="576"/>
      <c r="I136" s="576"/>
    </row>
    <row r="137" spans="1:9" ht="15">
      <c r="A137" s="1818" t="s">
        <v>273</v>
      </c>
      <c r="B137" s="1819" t="s">
        <v>174</v>
      </c>
      <c r="C137" s="577" t="s">
        <v>47</v>
      </c>
      <c r="D137" s="576"/>
      <c r="E137" s="576">
        <v>4142</v>
      </c>
      <c r="F137" s="576"/>
      <c r="G137" s="576">
        <f t="shared" si="6"/>
        <v>0</v>
      </c>
      <c r="H137" s="576"/>
      <c r="I137" s="576"/>
    </row>
    <row r="138" spans="1:9" ht="15">
      <c r="A138" s="1818"/>
      <c r="B138" s="1819"/>
      <c r="C138" s="577" t="s">
        <v>21</v>
      </c>
      <c r="D138" s="576"/>
      <c r="E138" s="576">
        <v>44.854390000000002</v>
      </c>
      <c r="F138" s="576"/>
      <c r="G138" s="576">
        <f t="shared" si="6"/>
        <v>0</v>
      </c>
      <c r="H138" s="576"/>
      <c r="I138" s="576"/>
    </row>
    <row r="139" spans="1:9" ht="15">
      <c r="A139" s="1818" t="s">
        <v>274</v>
      </c>
      <c r="B139" s="1819" t="s">
        <v>176</v>
      </c>
      <c r="C139" s="577" t="s">
        <v>47</v>
      </c>
      <c r="D139" s="576"/>
      <c r="E139" s="576">
        <f>2210+G139</f>
        <v>2663</v>
      </c>
      <c r="F139" s="576"/>
      <c r="G139" s="576">
        <f t="shared" si="6"/>
        <v>453</v>
      </c>
      <c r="H139" s="576">
        <v>453</v>
      </c>
      <c r="I139" s="576"/>
    </row>
    <row r="140" spans="1:9" ht="15">
      <c r="A140" s="1818"/>
      <c r="B140" s="1819"/>
      <c r="C140" s="577" t="s">
        <v>21</v>
      </c>
      <c r="D140" s="576"/>
      <c r="E140" s="576">
        <f>24.74732+G140</f>
        <v>34.00732</v>
      </c>
      <c r="F140" s="576"/>
      <c r="G140" s="576">
        <f t="shared" si="6"/>
        <v>9.26</v>
      </c>
      <c r="H140" s="576">
        <v>9.26</v>
      </c>
      <c r="I140" s="576"/>
    </row>
    <row r="141" spans="1:9" ht="15">
      <c r="A141" s="1818" t="s">
        <v>275</v>
      </c>
      <c r="B141" s="1819" t="s">
        <v>178</v>
      </c>
      <c r="C141" s="577" t="s">
        <v>47</v>
      </c>
      <c r="D141" s="576"/>
      <c r="E141" s="576">
        <v>0</v>
      </c>
      <c r="F141" s="576"/>
      <c r="G141" s="576">
        <f t="shared" si="6"/>
        <v>0</v>
      </c>
      <c r="H141" s="576"/>
      <c r="I141" s="576"/>
    </row>
    <row r="142" spans="1:9" ht="15">
      <c r="A142" s="1818"/>
      <c r="B142" s="1819"/>
      <c r="C142" s="577" t="s">
        <v>21</v>
      </c>
      <c r="D142" s="576"/>
      <c r="E142" s="576">
        <v>0</v>
      </c>
      <c r="F142" s="576"/>
      <c r="G142" s="576">
        <f t="shared" si="6"/>
        <v>0</v>
      </c>
      <c r="H142" s="576"/>
      <c r="I142" s="576"/>
    </row>
    <row r="143" spans="1:9" ht="15">
      <c r="A143" s="1818" t="s">
        <v>276</v>
      </c>
      <c r="B143" s="1819" t="s">
        <v>180</v>
      </c>
      <c r="C143" s="577" t="s">
        <v>47</v>
      </c>
      <c r="D143" s="576"/>
      <c r="E143" s="576">
        <v>10</v>
      </c>
      <c r="F143" s="576"/>
      <c r="G143" s="576">
        <f t="shared" si="6"/>
        <v>0</v>
      </c>
      <c r="H143" s="576"/>
      <c r="I143" s="576"/>
    </row>
    <row r="144" spans="1:9" ht="15">
      <c r="A144" s="1818"/>
      <c r="B144" s="1819"/>
      <c r="C144" s="577" t="s">
        <v>21</v>
      </c>
      <c r="D144" s="576"/>
      <c r="E144" s="576">
        <v>0.31725999999999999</v>
      </c>
      <c r="F144" s="576"/>
      <c r="G144" s="576">
        <f t="shared" si="6"/>
        <v>0</v>
      </c>
      <c r="H144" s="576"/>
      <c r="I144" s="576"/>
    </row>
    <row r="145" spans="1:115" ht="15">
      <c r="A145" s="1818" t="s">
        <v>277</v>
      </c>
      <c r="B145" s="1819" t="s">
        <v>182</v>
      </c>
      <c r="C145" s="577" t="s">
        <v>47</v>
      </c>
      <c r="D145" s="576"/>
      <c r="E145" s="576">
        <v>0</v>
      </c>
      <c r="F145" s="576"/>
      <c r="G145" s="576">
        <f t="shared" si="6"/>
        <v>0</v>
      </c>
      <c r="H145" s="576"/>
      <c r="I145" s="576"/>
    </row>
    <row r="146" spans="1:115" ht="15">
      <c r="A146" s="1818"/>
      <c r="B146" s="1819"/>
      <c r="C146" s="577" t="s">
        <v>21</v>
      </c>
      <c r="D146" s="576"/>
      <c r="E146" s="576">
        <v>0</v>
      </c>
      <c r="F146" s="576"/>
      <c r="G146" s="576">
        <f t="shared" si="6"/>
        <v>0</v>
      </c>
      <c r="H146" s="576"/>
      <c r="I146" s="576"/>
    </row>
    <row r="147" spans="1:115" ht="32.25" customHeight="1">
      <c r="B147" s="1817" t="s">
        <v>211</v>
      </c>
      <c r="C147" s="1817"/>
      <c r="D147" s="1817"/>
      <c r="E147" s="1817"/>
      <c r="F147" s="1817"/>
      <c r="G147" s="1817"/>
    </row>
    <row r="148" spans="1:115" ht="32.25" customHeight="1">
      <c r="B148" s="597" t="s">
        <v>301</v>
      </c>
      <c r="C148" s="597"/>
      <c r="D148" s="597"/>
      <c r="E148" s="597"/>
      <c r="F148" s="597"/>
      <c r="G148" s="597"/>
    </row>
    <row r="149" spans="1:115" ht="29.25" customHeight="1">
      <c r="B149" s="268" t="s">
        <v>293</v>
      </c>
    </row>
    <row r="150" spans="1:115">
      <c r="B150" s="268" t="s">
        <v>291</v>
      </c>
    </row>
    <row r="151" spans="1:115" ht="12.75" customHeight="1">
      <c r="D151" s="268"/>
      <c r="E151" s="268"/>
      <c r="F151" s="290"/>
      <c r="G151" s="290"/>
    </row>
    <row r="152" spans="1:115" s="355" customFormat="1" ht="15.75">
      <c r="A152" s="268"/>
      <c r="C152" s="356"/>
      <c r="F152" s="574"/>
      <c r="G152" s="574"/>
      <c r="H152" s="290"/>
      <c r="I152" s="290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8"/>
      <c r="BT152" s="268"/>
      <c r="BU152" s="268"/>
      <c r="BV152" s="268"/>
      <c r="BW152" s="268"/>
      <c r="BX152" s="268"/>
      <c r="BY152" s="26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</row>
    <row r="153" spans="1:115" s="355" customFormat="1" ht="15.75">
      <c r="A153" s="268"/>
      <c r="B153" s="268"/>
      <c r="C153" s="356"/>
      <c r="F153" s="574"/>
      <c r="G153" s="574"/>
      <c r="H153" s="290"/>
      <c r="I153" s="290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</row>
    <row r="154" spans="1:115" s="355" customFormat="1" ht="6" customHeight="1">
      <c r="A154" s="268"/>
      <c r="B154" s="268"/>
      <c r="C154" s="268"/>
      <c r="F154" s="574"/>
      <c r="G154" s="574"/>
      <c r="H154" s="290"/>
      <c r="I154" s="290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</row>
    <row r="155" spans="1:115" s="355" customFormat="1" hidden="1">
      <c r="A155" s="268"/>
      <c r="B155" s="268"/>
      <c r="C155" s="268"/>
      <c r="F155" s="574"/>
      <c r="G155" s="574"/>
      <c r="H155" s="290"/>
      <c r="I155" s="290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</row>
    <row r="156" spans="1:115" s="355" customFormat="1" hidden="1">
      <c r="A156" s="268"/>
      <c r="B156" s="268"/>
      <c r="C156" s="268"/>
      <c r="F156" s="574"/>
      <c r="G156" s="574"/>
      <c r="H156" s="290"/>
      <c r="I156" s="290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/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68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</row>
  </sheetData>
  <mergeCells count="118">
    <mergeCell ref="A9:B9"/>
    <mergeCell ref="A10:B10"/>
    <mergeCell ref="A11:I11"/>
    <mergeCell ref="B12:G12"/>
    <mergeCell ref="G13:I13"/>
    <mergeCell ref="A16:A18"/>
    <mergeCell ref="E1:I1"/>
    <mergeCell ref="E2:I2"/>
    <mergeCell ref="E3:I3"/>
    <mergeCell ref="E4:I4"/>
    <mergeCell ref="E5:I5"/>
    <mergeCell ref="A8:B8"/>
    <mergeCell ref="A26:A27"/>
    <mergeCell ref="B26:B27"/>
    <mergeCell ref="A28:A29"/>
    <mergeCell ref="B28:B29"/>
    <mergeCell ref="A30:A31"/>
    <mergeCell ref="B30:B31"/>
    <mergeCell ref="A19:A20"/>
    <mergeCell ref="B19:B20"/>
    <mergeCell ref="A21:A22"/>
    <mergeCell ref="B21:B22"/>
    <mergeCell ref="A24:A25"/>
    <mergeCell ref="B24:B25"/>
    <mergeCell ref="A39:A41"/>
    <mergeCell ref="B39:B41"/>
    <mergeCell ref="A42:A43"/>
    <mergeCell ref="B42:B43"/>
    <mergeCell ref="A44:A45"/>
    <mergeCell ref="B44:B45"/>
    <mergeCell ref="A32:A33"/>
    <mergeCell ref="B32:B33"/>
    <mergeCell ref="A35:A36"/>
    <mergeCell ref="B35:B36"/>
    <mergeCell ref="A37:A38"/>
    <mergeCell ref="B37:B38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77:A78"/>
    <mergeCell ref="B77:B78"/>
    <mergeCell ref="A79:A80"/>
    <mergeCell ref="B79:B80"/>
    <mergeCell ref="A81:A82"/>
    <mergeCell ref="B81:B82"/>
    <mergeCell ref="A70:A71"/>
    <mergeCell ref="B70:B71"/>
    <mergeCell ref="A72:A73"/>
    <mergeCell ref="B72:B73"/>
    <mergeCell ref="A75:A76"/>
    <mergeCell ref="B75:B76"/>
    <mergeCell ref="A90:A91"/>
    <mergeCell ref="B90:B91"/>
    <mergeCell ref="A92:A93"/>
    <mergeCell ref="B92:B93"/>
    <mergeCell ref="A94:A95"/>
    <mergeCell ref="B94:B95"/>
    <mergeCell ref="A83:A84"/>
    <mergeCell ref="B83:B84"/>
    <mergeCell ref="A85:A86"/>
    <mergeCell ref="B85:B86"/>
    <mergeCell ref="A87:A88"/>
    <mergeCell ref="B87:B88"/>
    <mergeCell ref="A112:A113"/>
    <mergeCell ref="B112:B113"/>
    <mergeCell ref="A119:A120"/>
    <mergeCell ref="B119:B120"/>
    <mergeCell ref="A121:A122"/>
    <mergeCell ref="B121:B122"/>
    <mergeCell ref="A103:I103"/>
    <mergeCell ref="A106:A107"/>
    <mergeCell ref="B106:B107"/>
    <mergeCell ref="A108:A109"/>
    <mergeCell ref="B108:B109"/>
    <mergeCell ref="A110:A111"/>
    <mergeCell ref="B110:B111"/>
    <mergeCell ref="A133:A134"/>
    <mergeCell ref="B133:B134"/>
    <mergeCell ref="A135:A136"/>
    <mergeCell ref="B135:B136"/>
    <mergeCell ref="A137:A138"/>
    <mergeCell ref="B137:B138"/>
    <mergeCell ref="A123:A124"/>
    <mergeCell ref="B123:B124"/>
    <mergeCell ref="A125:A126"/>
    <mergeCell ref="B125:B126"/>
    <mergeCell ref="A131:A132"/>
    <mergeCell ref="B131:B132"/>
    <mergeCell ref="A145:A146"/>
    <mergeCell ref="B145:B146"/>
    <mergeCell ref="B147:G147"/>
    <mergeCell ref="A139:A140"/>
    <mergeCell ref="B139:B140"/>
    <mergeCell ref="A141:A142"/>
    <mergeCell ref="B141:B142"/>
    <mergeCell ref="A143:A144"/>
    <mergeCell ref="B143:B144"/>
  </mergeCells>
  <pageMargins left="0.37" right="0" top="0.35" bottom="0.36" header="0.27" footer="0.31496062992125984"/>
  <pageSetup paperSize="9" scale="8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63"/>
  <sheetViews>
    <sheetView topLeftCell="A67" zoomScale="80" zoomScaleNormal="80" workbookViewId="0">
      <selection activeCell="I76" sqref="I76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210</v>
      </c>
      <c r="U6" s="1755"/>
      <c r="V6" s="1755"/>
      <c r="W6" s="1755"/>
      <c r="X6" s="1755"/>
    </row>
    <row r="7" spans="1:27" ht="53.25" customHeight="1">
      <c r="A7" s="1754" t="s">
        <v>283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493" t="s">
        <v>190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30"/>
      <c r="P8" s="493"/>
      <c r="Q8" s="493"/>
      <c r="R8" s="493"/>
      <c r="S8" s="493"/>
      <c r="T8" s="493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752" t="s">
        <v>3</v>
      </c>
      <c r="D10" s="1880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752"/>
      <c r="D11" s="1880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752"/>
      <c r="D12" s="1880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1022.2549999999999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910.89399999999989</v>
      </c>
      <c r="I13" s="41">
        <f>I16+I23+I34+I36+I39+I41+I43+I45+I47+I49+I51+I53+I55+I57+I59+I61+I63+I65+I67+I69+I71</f>
        <v>910.89399999999989</v>
      </c>
      <c r="J13" s="41">
        <f>J16+J23+J34+J36+J39+J41+J43+J45+J47+J49+J51+J53+J55+J57+J59+J61+J63+J65+J67+J69+J71</f>
        <v>0</v>
      </c>
      <c r="K13" s="41">
        <f>L13+M13</f>
        <v>111.361</v>
      </c>
      <c r="L13" s="41">
        <f>L16+L23+L34+L36+L39+L41+L43+L45+L47+L49+L51+L53+L55+L57+L59+L61+L63+L65+L67+L69+L71</f>
        <v>111.361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</row>
    <row r="14" spans="1:27" ht="31.5" customHeight="1" thickBot="1">
      <c r="A14" s="1718">
        <v>1</v>
      </c>
      <c r="B14" s="535" t="s">
        <v>22</v>
      </c>
      <c r="C14" s="517" t="s">
        <v>23</v>
      </c>
      <c r="D14" s="41">
        <f t="shared" si="0"/>
        <v>1</v>
      </c>
      <c r="E14" s="536"/>
      <c r="F14" s="536"/>
      <c r="G14" s="537"/>
      <c r="H14" s="48">
        <f t="shared" ref="H14:H77" si="1">I14+J14</f>
        <v>1</v>
      </c>
      <c r="I14" s="430">
        <v>1</v>
      </c>
      <c r="J14" s="430">
        <v>0</v>
      </c>
      <c r="K14" s="49">
        <f t="shared" ref="K14:K77" si="2">L14+M14</f>
        <v>0</v>
      </c>
      <c r="L14" s="430"/>
      <c r="M14" s="430">
        <v>0</v>
      </c>
      <c r="N14" s="538"/>
      <c r="O14" s="536"/>
      <c r="P14" s="536"/>
      <c r="Q14" s="536"/>
      <c r="R14" s="536"/>
      <c r="S14" s="536"/>
      <c r="T14" s="536"/>
      <c r="U14" s="536"/>
      <c r="V14" s="536"/>
      <c r="W14" s="536"/>
      <c r="X14" s="536"/>
    </row>
    <row r="15" spans="1:27" ht="16.5" thickBot="1">
      <c r="A15" s="1718"/>
      <c r="B15" s="539"/>
      <c r="C15" s="518" t="s">
        <v>24</v>
      </c>
      <c r="D15" s="41">
        <f t="shared" si="0"/>
        <v>1.4999999999999999E-2</v>
      </c>
      <c r="E15" s="85">
        <f>E17+E19+E21</f>
        <v>0</v>
      </c>
      <c r="F15" s="85">
        <f>F17+F19+F21</f>
        <v>0</v>
      </c>
      <c r="G15" s="85">
        <f>G17+G19+G21</f>
        <v>0</v>
      </c>
      <c r="H15" s="48">
        <f t="shared" si="1"/>
        <v>1.4999999999999999E-2</v>
      </c>
      <c r="I15" s="434">
        <f>I17+I19</f>
        <v>1.4999999999999999E-2</v>
      </c>
      <c r="J15" s="434">
        <f>J17+J19</f>
        <v>0</v>
      </c>
      <c r="K15" s="49">
        <f t="shared" si="2"/>
        <v>0</v>
      </c>
      <c r="L15" s="434">
        <f>L17+L19</f>
        <v>0</v>
      </c>
      <c r="M15" s="434">
        <f>M17+M19</f>
        <v>0</v>
      </c>
      <c r="N15" s="540">
        <f t="shared" ref="N15:X16" si="3">N17+N19</f>
        <v>0</v>
      </c>
      <c r="O15" s="85">
        <f t="shared" si="3"/>
        <v>0</v>
      </c>
      <c r="P15" s="85">
        <f t="shared" si="3"/>
        <v>0</v>
      </c>
      <c r="Q15" s="85">
        <f t="shared" si="3"/>
        <v>0</v>
      </c>
      <c r="R15" s="85">
        <f t="shared" si="3"/>
        <v>0</v>
      </c>
      <c r="S15" s="85">
        <f t="shared" si="3"/>
        <v>0</v>
      </c>
      <c r="T15" s="85">
        <f t="shared" si="3"/>
        <v>0</v>
      </c>
      <c r="U15" s="85">
        <f t="shared" si="3"/>
        <v>0</v>
      </c>
      <c r="V15" s="85">
        <f t="shared" si="3"/>
        <v>0</v>
      </c>
      <c r="W15" s="85">
        <f t="shared" si="3"/>
        <v>0</v>
      </c>
      <c r="X15" s="85">
        <f t="shared" si="3"/>
        <v>0</v>
      </c>
      <c r="Y15" s="9"/>
      <c r="Z15" s="9"/>
      <c r="AA15" s="9"/>
    </row>
    <row r="16" spans="1:27" ht="16.5" thickBot="1">
      <c r="A16" s="1718"/>
      <c r="B16" s="541" t="s">
        <v>25</v>
      </c>
      <c r="C16" s="519" t="s">
        <v>21</v>
      </c>
      <c r="D16" s="41">
        <f t="shared" si="0"/>
        <v>4.9269999999999996</v>
      </c>
      <c r="E16" s="94">
        <f>E18+E20</f>
        <v>0</v>
      </c>
      <c r="F16" s="94">
        <f>F18+F20</f>
        <v>0</v>
      </c>
      <c r="G16" s="542">
        <f>G18+G20</f>
        <v>0</v>
      </c>
      <c r="H16" s="48">
        <f t="shared" si="1"/>
        <v>4.9269999999999996</v>
      </c>
      <c r="I16" s="434">
        <f>I18+I20+I21</f>
        <v>4.9269999999999996</v>
      </c>
      <c r="J16" s="434">
        <f>J18+J20+J21</f>
        <v>0</v>
      </c>
      <c r="K16" s="49">
        <f t="shared" si="2"/>
        <v>0</v>
      </c>
      <c r="L16" s="434">
        <f>L18+L20+L21</f>
        <v>0</v>
      </c>
      <c r="M16" s="434">
        <f>M18+M20+M21</f>
        <v>0</v>
      </c>
      <c r="N16" s="543">
        <f t="shared" si="3"/>
        <v>0</v>
      </c>
      <c r="O16" s="94">
        <f t="shared" si="3"/>
        <v>0</v>
      </c>
      <c r="P16" s="94">
        <f t="shared" si="3"/>
        <v>0</v>
      </c>
      <c r="Q16" s="94">
        <f t="shared" si="3"/>
        <v>0</v>
      </c>
      <c r="R16" s="94">
        <f t="shared" si="3"/>
        <v>0</v>
      </c>
      <c r="S16" s="94">
        <f t="shared" si="3"/>
        <v>0</v>
      </c>
      <c r="T16" s="94">
        <f t="shared" si="3"/>
        <v>0</v>
      </c>
      <c r="U16" s="94">
        <f t="shared" si="3"/>
        <v>0</v>
      </c>
      <c r="V16" s="94">
        <f t="shared" si="3"/>
        <v>0</v>
      </c>
      <c r="W16" s="94">
        <f t="shared" si="3"/>
        <v>0</v>
      </c>
      <c r="X16" s="94">
        <f t="shared" si="3"/>
        <v>0</v>
      </c>
      <c r="Y16" s="9"/>
      <c r="Z16" s="9"/>
      <c r="AA16" s="9"/>
    </row>
    <row r="17" spans="1:27" ht="16.5" thickBot="1">
      <c r="A17" s="544" t="s">
        <v>26</v>
      </c>
      <c r="B17" s="545" t="s">
        <v>27</v>
      </c>
      <c r="C17" s="519" t="s">
        <v>24</v>
      </c>
      <c r="D17" s="41">
        <f t="shared" si="0"/>
        <v>0</v>
      </c>
      <c r="E17" s="94">
        <f>F17+G17</f>
        <v>0</v>
      </c>
      <c r="F17" s="95"/>
      <c r="G17" s="96"/>
      <c r="H17" s="48">
        <f t="shared" si="1"/>
        <v>0</v>
      </c>
      <c r="I17" s="546"/>
      <c r="J17" s="421"/>
      <c r="K17" s="49">
        <v>0</v>
      </c>
      <c r="L17" s="421"/>
      <c r="M17" s="421"/>
      <c r="N17" s="543">
        <f t="shared" ref="N17:N32" si="4">O17</f>
        <v>0</v>
      </c>
      <c r="O17" s="547"/>
      <c r="P17" s="542">
        <f t="shared" ref="P17:P71" si="5">Q17</f>
        <v>0</v>
      </c>
      <c r="Q17" s="90"/>
      <c r="R17" s="97">
        <f t="shared" ref="R17:R71" si="6">S17+T17</f>
        <v>0</v>
      </c>
      <c r="S17" s="90"/>
      <c r="T17" s="90"/>
      <c r="U17" s="97">
        <f t="shared" ref="U17:U71" si="7">V17</f>
        <v>0</v>
      </c>
      <c r="V17" s="90"/>
      <c r="W17" s="97">
        <f t="shared" ref="W17:W39" si="8">X17</f>
        <v>0</v>
      </c>
      <c r="X17" s="90"/>
      <c r="Y17" s="9"/>
      <c r="Z17" s="9"/>
      <c r="AA17" s="9"/>
    </row>
    <row r="18" spans="1:27" ht="16.5" thickBot="1">
      <c r="A18" s="548"/>
      <c r="B18" s="545"/>
      <c r="C18" s="519" t="s">
        <v>21</v>
      </c>
      <c r="D18" s="41">
        <f t="shared" si="0"/>
        <v>0</v>
      </c>
      <c r="E18" s="94">
        <f>F18+G18</f>
        <v>0</v>
      </c>
      <c r="F18" s="95"/>
      <c r="G18" s="96"/>
      <c r="H18" s="48">
        <f t="shared" si="1"/>
        <v>0</v>
      </c>
      <c r="I18" s="421"/>
      <c r="J18" s="421"/>
      <c r="K18" s="49">
        <v>0</v>
      </c>
      <c r="L18" s="421"/>
      <c r="M18" s="421"/>
      <c r="N18" s="97">
        <f t="shared" si="4"/>
        <v>0</v>
      </c>
      <c r="O18" s="89"/>
      <c r="P18" s="97">
        <f t="shared" si="5"/>
        <v>0</v>
      </c>
      <c r="Q18" s="90"/>
      <c r="R18" s="97">
        <f t="shared" si="6"/>
        <v>0</v>
      </c>
      <c r="S18" s="90"/>
      <c r="T18" s="90"/>
      <c r="U18" s="97">
        <f t="shared" si="7"/>
        <v>0</v>
      </c>
      <c r="V18" s="90"/>
      <c r="W18" s="97">
        <f t="shared" si="8"/>
        <v>0</v>
      </c>
      <c r="X18" s="90"/>
      <c r="Y18" s="9"/>
      <c r="Z18" s="9"/>
      <c r="AA18" s="9"/>
    </row>
    <row r="19" spans="1:27" ht="16.5" thickBot="1">
      <c r="A19" s="548" t="s">
        <v>28</v>
      </c>
      <c r="B19" s="545" t="s">
        <v>29</v>
      </c>
      <c r="C19" s="519" t="s">
        <v>24</v>
      </c>
      <c r="D19" s="41">
        <f t="shared" si="0"/>
        <v>1.4999999999999999E-2</v>
      </c>
      <c r="E19" s="94">
        <f>F19+G19</f>
        <v>0</v>
      </c>
      <c r="F19" s="95"/>
      <c r="G19" s="96"/>
      <c r="H19" s="48">
        <f t="shared" si="1"/>
        <v>1.4999999999999999E-2</v>
      </c>
      <c r="I19" s="549">
        <v>1.4999999999999999E-2</v>
      </c>
      <c r="J19" s="421"/>
      <c r="K19" s="49">
        <v>0</v>
      </c>
      <c r="L19" s="421"/>
      <c r="M19" s="421"/>
      <c r="N19" s="97">
        <f t="shared" si="4"/>
        <v>0</v>
      </c>
      <c r="O19" s="89"/>
      <c r="P19" s="97">
        <f t="shared" si="5"/>
        <v>0</v>
      </c>
      <c r="Q19" s="90"/>
      <c r="R19" s="97">
        <f t="shared" si="6"/>
        <v>0</v>
      </c>
      <c r="S19" s="90"/>
      <c r="T19" s="90"/>
      <c r="U19" s="97">
        <f t="shared" si="7"/>
        <v>0</v>
      </c>
      <c r="V19" s="90"/>
      <c r="W19" s="97">
        <f t="shared" si="8"/>
        <v>0</v>
      </c>
      <c r="X19" s="90"/>
      <c r="Y19" s="9"/>
      <c r="Z19" s="9"/>
      <c r="AA19" s="9"/>
    </row>
    <row r="20" spans="1:27" ht="16.5" thickBot="1">
      <c r="A20" s="550"/>
      <c r="B20" s="551"/>
      <c r="C20" s="520" t="s">
        <v>21</v>
      </c>
      <c r="D20" s="41">
        <f t="shared" si="0"/>
        <v>4.9269999999999996</v>
      </c>
      <c r="E20" s="552">
        <f>F20+G20</f>
        <v>0</v>
      </c>
      <c r="F20" s="553"/>
      <c r="G20" s="554"/>
      <c r="H20" s="48">
        <f t="shared" si="1"/>
        <v>4.9269999999999996</v>
      </c>
      <c r="I20" s="421">
        <v>4.9269999999999996</v>
      </c>
      <c r="J20" s="421"/>
      <c r="K20" s="49">
        <v>0</v>
      </c>
      <c r="L20" s="421"/>
      <c r="M20" s="421"/>
      <c r="N20" s="555">
        <f t="shared" si="4"/>
        <v>0</v>
      </c>
      <c r="O20" s="89"/>
      <c r="P20" s="555">
        <f t="shared" si="5"/>
        <v>0</v>
      </c>
      <c r="Q20" s="90"/>
      <c r="R20" s="555">
        <f t="shared" si="6"/>
        <v>0</v>
      </c>
      <c r="S20" s="90"/>
      <c r="T20" s="90"/>
      <c r="U20" s="555">
        <f t="shared" si="7"/>
        <v>0</v>
      </c>
      <c r="V20" s="90"/>
      <c r="W20" s="555">
        <f t="shared" si="8"/>
        <v>0</v>
      </c>
      <c r="X20" s="90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521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501">
        <f t="shared" si="1"/>
        <v>0</v>
      </c>
      <c r="I21" s="20"/>
      <c r="J21" s="20"/>
      <c r="K21" s="502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thickBot="1">
      <c r="A22" s="503">
        <v>2</v>
      </c>
      <c r="B22" s="504" t="s">
        <v>32</v>
      </c>
      <c r="C22" s="84" t="s">
        <v>33</v>
      </c>
      <c r="D22" s="41">
        <f t="shared" si="0"/>
        <v>0</v>
      </c>
      <c r="E22" s="53"/>
      <c r="F22" s="505"/>
      <c r="G22" s="506"/>
      <c r="H22" s="500">
        <f t="shared" si="1"/>
        <v>0</v>
      </c>
      <c r="I22" s="505"/>
      <c r="J22" s="505"/>
      <c r="K22" s="500">
        <f t="shared" si="2"/>
        <v>0</v>
      </c>
      <c r="L22" s="505">
        <v>0</v>
      </c>
      <c r="M22" s="505"/>
      <c r="N22" s="507">
        <f t="shared" si="4"/>
        <v>0</v>
      </c>
      <c r="O22" s="68"/>
      <c r="P22" s="507">
        <f t="shared" si="5"/>
        <v>0</v>
      </c>
      <c r="Q22" s="65"/>
      <c r="R22" s="507">
        <f t="shared" si="6"/>
        <v>0</v>
      </c>
      <c r="S22" s="65"/>
      <c r="T22" s="65"/>
      <c r="U22" s="507">
        <f t="shared" si="7"/>
        <v>0</v>
      </c>
      <c r="V22" s="65"/>
      <c r="W22" s="507">
        <f t="shared" si="8"/>
        <v>0</v>
      </c>
      <c r="X22" s="65"/>
      <c r="Y22" s="9"/>
      <c r="Z22" s="9"/>
      <c r="AA22" s="9"/>
    </row>
    <row r="23" spans="1:27" thickBot="1">
      <c r="A23" s="508"/>
      <c r="B23" s="509" t="s">
        <v>34</v>
      </c>
      <c r="C23" s="93" t="s">
        <v>21</v>
      </c>
      <c r="D23" s="41">
        <f t="shared" si="0"/>
        <v>0</v>
      </c>
      <c r="E23" s="57"/>
      <c r="F23" s="62"/>
      <c r="G23" s="63"/>
      <c r="H23" s="500">
        <f t="shared" si="1"/>
        <v>0</v>
      </c>
      <c r="I23" s="62">
        <f>I25+I27+I29+I31+I32</f>
        <v>0</v>
      </c>
      <c r="J23" s="62">
        <f>J25+J27+J29+J31+J32</f>
        <v>0</v>
      </c>
      <c r="K23" s="500">
        <f t="shared" si="2"/>
        <v>0</v>
      </c>
      <c r="L23" s="62">
        <f>L25+L27+L29+L31+L32</f>
        <v>0</v>
      </c>
      <c r="M23" s="62">
        <f>M25+M27+M29+M31+M32</f>
        <v>0</v>
      </c>
      <c r="N23" s="66">
        <f t="shared" si="4"/>
        <v>0</v>
      </c>
      <c r="O23" s="68"/>
      <c r="P23" s="66">
        <f t="shared" si="5"/>
        <v>0</v>
      </c>
      <c r="Q23" s="65"/>
      <c r="R23" s="66">
        <f t="shared" si="6"/>
        <v>0</v>
      </c>
      <c r="S23" s="65"/>
      <c r="T23" s="65"/>
      <c r="U23" s="66">
        <f t="shared" si="7"/>
        <v>0</v>
      </c>
      <c r="V23" s="65"/>
      <c r="W23" s="66">
        <f t="shared" si="8"/>
        <v>0</v>
      </c>
      <c r="X23" s="65"/>
      <c r="Y23" s="9"/>
      <c r="Z23" s="9"/>
      <c r="AA23" s="9"/>
    </row>
    <row r="24" spans="1:27" thickBot="1">
      <c r="A24" s="510" t="s">
        <v>35</v>
      </c>
      <c r="B24" s="504" t="s">
        <v>36</v>
      </c>
      <c r="C24" s="84" t="s">
        <v>37</v>
      </c>
      <c r="D24" s="41">
        <f t="shared" si="0"/>
        <v>0</v>
      </c>
      <c r="E24" s="57"/>
      <c r="F24" s="62"/>
      <c r="G24" s="63"/>
      <c r="H24" s="500">
        <f t="shared" si="1"/>
        <v>0</v>
      </c>
      <c r="I24" s="62"/>
      <c r="J24" s="62"/>
      <c r="K24" s="500">
        <f t="shared" si="2"/>
        <v>0</v>
      </c>
      <c r="L24" s="62"/>
      <c r="M24" s="62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510"/>
      <c r="B25" s="504"/>
      <c r="C25" s="84" t="s">
        <v>21</v>
      </c>
      <c r="D25" s="41">
        <f t="shared" si="0"/>
        <v>0</v>
      </c>
      <c r="E25" s="57"/>
      <c r="F25" s="62"/>
      <c r="G25" s="63"/>
      <c r="H25" s="500">
        <f t="shared" si="1"/>
        <v>0</v>
      </c>
      <c r="I25" s="62"/>
      <c r="J25" s="62"/>
      <c r="K25" s="500">
        <f t="shared" si="2"/>
        <v>0</v>
      </c>
      <c r="L25" s="62"/>
      <c r="M25" s="62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511" t="s">
        <v>38</v>
      </c>
      <c r="B26" s="512" t="s">
        <v>39</v>
      </c>
      <c r="C26" s="522" t="s">
        <v>40</v>
      </c>
      <c r="D26" s="41">
        <f t="shared" si="0"/>
        <v>0</v>
      </c>
      <c r="E26" s="57"/>
      <c r="F26" s="62"/>
      <c r="G26" s="63"/>
      <c r="H26" s="500">
        <f t="shared" si="1"/>
        <v>0</v>
      </c>
      <c r="I26" s="62"/>
      <c r="J26" s="62"/>
      <c r="K26" s="500">
        <f t="shared" si="2"/>
        <v>0</v>
      </c>
      <c r="L26" s="62"/>
      <c r="M26" s="62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508"/>
      <c r="B27" s="513" t="s">
        <v>41</v>
      </c>
      <c r="C27" s="93" t="s">
        <v>21</v>
      </c>
      <c r="D27" s="41">
        <f t="shared" si="0"/>
        <v>0</v>
      </c>
      <c r="E27" s="57"/>
      <c r="F27" s="62"/>
      <c r="G27" s="63"/>
      <c r="H27" s="500">
        <f t="shared" si="1"/>
        <v>0</v>
      </c>
      <c r="I27" s="62"/>
      <c r="J27" s="62"/>
      <c r="K27" s="500">
        <f t="shared" si="2"/>
        <v>0</v>
      </c>
      <c r="L27" s="62"/>
      <c r="M27" s="62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511" t="s">
        <v>42</v>
      </c>
      <c r="B28" s="514" t="s">
        <v>43</v>
      </c>
      <c r="C28" s="522" t="s">
        <v>40</v>
      </c>
      <c r="D28" s="41">
        <f t="shared" si="0"/>
        <v>0</v>
      </c>
      <c r="E28" s="57"/>
      <c r="F28" s="62"/>
      <c r="G28" s="63"/>
      <c r="H28" s="500">
        <f t="shared" si="1"/>
        <v>0</v>
      </c>
      <c r="I28" s="62"/>
      <c r="J28" s="62"/>
      <c r="K28" s="500">
        <f t="shared" si="2"/>
        <v>0</v>
      </c>
      <c r="L28" s="62"/>
      <c r="M28" s="62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508"/>
      <c r="B29" s="513" t="s">
        <v>44</v>
      </c>
      <c r="C29" s="93" t="s">
        <v>21</v>
      </c>
      <c r="D29" s="41">
        <f t="shared" si="0"/>
        <v>0</v>
      </c>
      <c r="E29" s="57"/>
      <c r="F29" s="62"/>
      <c r="G29" s="63"/>
      <c r="H29" s="500">
        <f t="shared" si="1"/>
        <v>0</v>
      </c>
      <c r="I29" s="62"/>
      <c r="J29" s="62"/>
      <c r="K29" s="500">
        <f t="shared" si="2"/>
        <v>0</v>
      </c>
      <c r="L29" s="62"/>
      <c r="M29" s="62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511" t="s">
        <v>45</v>
      </c>
      <c r="B30" s="514" t="s">
        <v>46</v>
      </c>
      <c r="C30" s="522" t="s">
        <v>47</v>
      </c>
      <c r="D30" s="41">
        <f t="shared" si="0"/>
        <v>0</v>
      </c>
      <c r="E30" s="57"/>
      <c r="F30" s="62"/>
      <c r="G30" s="63"/>
      <c r="H30" s="500">
        <f t="shared" si="1"/>
        <v>0</v>
      </c>
      <c r="I30" s="62"/>
      <c r="J30" s="62"/>
      <c r="K30" s="500">
        <f t="shared" si="2"/>
        <v>0</v>
      </c>
      <c r="L30" s="62"/>
      <c r="M30" s="62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508"/>
      <c r="B31" s="513"/>
      <c r="C31" s="84" t="s">
        <v>21</v>
      </c>
      <c r="D31" s="41">
        <f t="shared" si="0"/>
        <v>0</v>
      </c>
      <c r="E31" s="57"/>
      <c r="F31" s="62"/>
      <c r="G31" s="63"/>
      <c r="H31" s="500">
        <f t="shared" si="1"/>
        <v>0</v>
      </c>
      <c r="I31" s="62"/>
      <c r="J31" s="62"/>
      <c r="K31" s="500">
        <f t="shared" si="2"/>
        <v>0</v>
      </c>
      <c r="L31" s="62"/>
      <c r="M31" s="62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508" t="s">
        <v>48</v>
      </c>
      <c r="B32" s="515" t="s">
        <v>49</v>
      </c>
      <c r="C32" s="521" t="s">
        <v>21</v>
      </c>
      <c r="D32" s="41">
        <f t="shared" si="0"/>
        <v>0</v>
      </c>
      <c r="E32" s="57"/>
      <c r="F32" s="62"/>
      <c r="G32" s="63"/>
      <c r="H32" s="500">
        <f t="shared" si="1"/>
        <v>0</v>
      </c>
      <c r="I32" s="62"/>
      <c r="J32" s="62"/>
      <c r="K32" s="500">
        <f t="shared" si="2"/>
        <v>0</v>
      </c>
      <c r="L32" s="62"/>
      <c r="M32" s="62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18" t="s">
        <v>51</v>
      </c>
      <c r="D33" s="41">
        <f t="shared" si="0"/>
        <v>0.6180000000000001</v>
      </c>
      <c r="E33" s="57">
        <f t="shared" ref="E33:E39" si="9">F33+G33</f>
        <v>0</v>
      </c>
      <c r="F33" s="62"/>
      <c r="G33" s="63"/>
      <c r="H33" s="500">
        <f t="shared" si="1"/>
        <v>0.39400000000000002</v>
      </c>
      <c r="I33" s="62">
        <f>48/1000+98/1000+32/1000+36/1000+180/1000</f>
        <v>0.39400000000000002</v>
      </c>
      <c r="J33" s="62"/>
      <c r="K33" s="500">
        <f t="shared" si="2"/>
        <v>0.22400000000000003</v>
      </c>
      <c r="L33" s="62">
        <f>42/1000+140/1000+42/1000</f>
        <v>0.22400000000000003</v>
      </c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520" t="s">
        <v>21</v>
      </c>
      <c r="D34" s="41">
        <f t="shared" si="0"/>
        <v>276.81700000000001</v>
      </c>
      <c r="E34" s="57">
        <f t="shared" si="9"/>
        <v>0</v>
      </c>
      <c r="F34" s="62"/>
      <c r="G34" s="63"/>
      <c r="H34" s="500">
        <f t="shared" si="1"/>
        <v>175.32299999999998</v>
      </c>
      <c r="I34" s="62">
        <f>21.75+44.403+14.499+16.312+78.359</f>
        <v>175.32299999999998</v>
      </c>
      <c r="J34" s="62"/>
      <c r="K34" s="500">
        <f t="shared" si="2"/>
        <v>101.494</v>
      </c>
      <c r="L34" s="62">
        <f>19.03+63.434+19.03</f>
        <v>101.494</v>
      </c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523" t="s">
        <v>24</v>
      </c>
      <c r="D35" s="41">
        <f t="shared" si="0"/>
        <v>5.6000000000000001E-2</v>
      </c>
      <c r="E35" s="57">
        <f t="shared" si="9"/>
        <v>0</v>
      </c>
      <c r="F35" s="62"/>
      <c r="G35" s="63"/>
      <c r="H35" s="500">
        <f t="shared" si="1"/>
        <v>5.6000000000000001E-2</v>
      </c>
      <c r="I35" s="62">
        <v>5.6000000000000001E-2</v>
      </c>
      <c r="J35" s="62"/>
      <c r="K35" s="500">
        <f t="shared" si="2"/>
        <v>0</v>
      </c>
      <c r="L35" s="62"/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524" t="s">
        <v>21</v>
      </c>
      <c r="D36" s="41">
        <f t="shared" si="0"/>
        <v>159.13499999999999</v>
      </c>
      <c r="E36" s="57">
        <f t="shared" si="9"/>
        <v>0</v>
      </c>
      <c r="F36" s="62"/>
      <c r="G36" s="63"/>
      <c r="H36" s="500">
        <f t="shared" si="1"/>
        <v>159.13499999999999</v>
      </c>
      <c r="I36" s="62">
        <v>159.13499999999999</v>
      </c>
      <c r="J36" s="62"/>
      <c r="K36" s="500">
        <f t="shared" si="2"/>
        <v>0</v>
      </c>
      <c r="L36" s="62"/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523" t="s">
        <v>24</v>
      </c>
      <c r="D37" s="41">
        <f t="shared" si="0"/>
        <v>1.7108000000000001</v>
      </c>
      <c r="E37" s="57">
        <f t="shared" si="9"/>
        <v>0</v>
      </c>
      <c r="F37" s="62"/>
      <c r="G37" s="63"/>
      <c r="H37" s="500">
        <f t="shared" si="1"/>
        <v>1.7108000000000001</v>
      </c>
      <c r="I37" s="62">
        <v>1.7108000000000001</v>
      </c>
      <c r="J37" s="62"/>
      <c r="K37" s="500">
        <f t="shared" si="2"/>
        <v>0</v>
      </c>
      <c r="L37" s="62"/>
      <c r="M37" s="62"/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19" t="s">
        <v>56</v>
      </c>
      <c r="D38" s="41">
        <f t="shared" si="0"/>
        <v>4</v>
      </c>
      <c r="E38" s="57">
        <f t="shared" si="9"/>
        <v>0</v>
      </c>
      <c r="F38" s="62"/>
      <c r="G38" s="63"/>
      <c r="H38" s="500">
        <f t="shared" si="1"/>
        <v>4</v>
      </c>
      <c r="I38" s="62">
        <v>4</v>
      </c>
      <c r="J38" s="62"/>
      <c r="K38" s="500">
        <f t="shared" si="2"/>
        <v>0</v>
      </c>
      <c r="L38" s="62"/>
      <c r="M38" s="62"/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84" t="s">
        <v>21</v>
      </c>
      <c r="D39" s="41">
        <f t="shared" si="0"/>
        <v>479.05199999999996</v>
      </c>
      <c r="E39" s="72">
        <f t="shared" si="9"/>
        <v>0</v>
      </c>
      <c r="F39" s="73"/>
      <c r="G39" s="74"/>
      <c r="H39" s="500">
        <f t="shared" si="1"/>
        <v>479.05199999999996</v>
      </c>
      <c r="I39" s="62">
        <v>479.05199999999996</v>
      </c>
      <c r="J39" s="62"/>
      <c r="K39" s="500">
        <f t="shared" si="2"/>
        <v>0</v>
      </c>
      <c r="L39" s="62"/>
      <c r="M39" s="62"/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523" t="s">
        <v>24</v>
      </c>
      <c r="D40" s="41">
        <f t="shared" si="0"/>
        <v>0.01</v>
      </c>
      <c r="E40" s="123"/>
      <c r="F40" s="133"/>
      <c r="G40" s="134"/>
      <c r="H40" s="500">
        <f t="shared" si="1"/>
        <v>0.01</v>
      </c>
      <c r="I40" s="62">
        <f>10/1000</f>
        <v>0.01</v>
      </c>
      <c r="J40" s="62"/>
      <c r="K40" s="500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93" t="s">
        <v>21</v>
      </c>
      <c r="D41" s="41">
        <f t="shared" si="0"/>
        <v>1.365</v>
      </c>
      <c r="E41" s="121"/>
      <c r="F41" s="141"/>
      <c r="G41" s="142"/>
      <c r="H41" s="500">
        <f t="shared" si="1"/>
        <v>1.365</v>
      </c>
      <c r="I41" s="62">
        <f>1.365</f>
        <v>1.365</v>
      </c>
      <c r="J41" s="62"/>
      <c r="K41" s="500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523" t="s">
        <v>24</v>
      </c>
      <c r="D42" s="41">
        <f t="shared" si="0"/>
        <v>4.1250000000000002E-3</v>
      </c>
      <c r="E42" s="123"/>
      <c r="F42" s="133"/>
      <c r="G42" s="134"/>
      <c r="H42" s="500">
        <f t="shared" si="1"/>
        <v>4.1250000000000002E-3</v>
      </c>
      <c r="I42" s="62">
        <f>0.25*1.25*6/1000+0.25/1000+2/1000</f>
        <v>4.1250000000000002E-3</v>
      </c>
      <c r="J42" s="62"/>
      <c r="K42" s="500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93" t="s">
        <v>21</v>
      </c>
      <c r="D43" s="41">
        <f t="shared" si="0"/>
        <v>4.25</v>
      </c>
      <c r="E43" s="121"/>
      <c r="F43" s="141"/>
      <c r="G43" s="142"/>
      <c r="H43" s="500">
        <f t="shared" si="1"/>
        <v>4.25</v>
      </c>
      <c r="I43" s="62">
        <f>3.169+0.221+0.86</f>
        <v>4.25</v>
      </c>
      <c r="J43" s="62"/>
      <c r="K43" s="500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523" t="s">
        <v>47</v>
      </c>
      <c r="D44" s="41">
        <f t="shared" si="0"/>
        <v>9</v>
      </c>
      <c r="E44" s="57">
        <f t="shared" ref="E44:E59" si="11">F44+G44</f>
        <v>0</v>
      </c>
      <c r="F44" s="62"/>
      <c r="G44" s="63"/>
      <c r="H44" s="500">
        <f t="shared" si="1"/>
        <v>9</v>
      </c>
      <c r="I44" s="62">
        <f>1+4+4</f>
        <v>9</v>
      </c>
      <c r="J44" s="62"/>
      <c r="K44" s="500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524" t="s">
        <v>21</v>
      </c>
      <c r="D45" s="41">
        <f t="shared" si="0"/>
        <v>16.170000000000002</v>
      </c>
      <c r="E45" s="57">
        <f t="shared" si="11"/>
        <v>0</v>
      </c>
      <c r="F45" s="62"/>
      <c r="G45" s="63"/>
      <c r="H45" s="500">
        <f t="shared" si="1"/>
        <v>16.170000000000002</v>
      </c>
      <c r="I45" s="62">
        <f>2.164+7.003+7.003</f>
        <v>16.170000000000002</v>
      </c>
      <c r="J45" s="62"/>
      <c r="K45" s="500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18" t="s">
        <v>47</v>
      </c>
      <c r="D46" s="41">
        <f t="shared" si="0"/>
        <v>0</v>
      </c>
      <c r="E46" s="57">
        <f t="shared" si="11"/>
        <v>0</v>
      </c>
      <c r="F46" s="62"/>
      <c r="G46" s="63"/>
      <c r="H46" s="500">
        <f t="shared" si="1"/>
        <v>0</v>
      </c>
      <c r="I46" s="62"/>
      <c r="J46" s="62"/>
      <c r="K46" s="500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520" t="s">
        <v>21</v>
      </c>
      <c r="D47" s="41">
        <f t="shared" si="0"/>
        <v>0</v>
      </c>
      <c r="E47" s="57">
        <f t="shared" si="11"/>
        <v>0</v>
      </c>
      <c r="F47" s="62"/>
      <c r="G47" s="63"/>
      <c r="H47" s="500">
        <f t="shared" si="1"/>
        <v>0</v>
      </c>
      <c r="I47" s="62"/>
      <c r="J47" s="62"/>
      <c r="K47" s="500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523" t="s">
        <v>51</v>
      </c>
      <c r="D48" s="41">
        <f t="shared" si="0"/>
        <v>0</v>
      </c>
      <c r="E48" s="57">
        <f t="shared" si="11"/>
        <v>0</v>
      </c>
      <c r="F48" s="62"/>
      <c r="G48" s="63"/>
      <c r="H48" s="500">
        <f t="shared" si="1"/>
        <v>0</v>
      </c>
      <c r="I48" s="62"/>
      <c r="J48" s="62"/>
      <c r="K48" s="500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520" t="s">
        <v>21</v>
      </c>
      <c r="D49" s="41">
        <f t="shared" si="0"/>
        <v>0</v>
      </c>
      <c r="E49" s="57">
        <f t="shared" si="11"/>
        <v>0</v>
      </c>
      <c r="F49" s="62"/>
      <c r="G49" s="63"/>
      <c r="H49" s="500">
        <f t="shared" si="1"/>
        <v>0</v>
      </c>
      <c r="I49" s="62"/>
      <c r="J49" s="62"/>
      <c r="K49" s="500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523" t="s">
        <v>47</v>
      </c>
      <c r="D50" s="41">
        <f t="shared" si="0"/>
        <v>2</v>
      </c>
      <c r="E50" s="57">
        <f t="shared" si="11"/>
        <v>0</v>
      </c>
      <c r="F50" s="62"/>
      <c r="G50" s="63"/>
      <c r="H50" s="500">
        <f t="shared" si="1"/>
        <v>2</v>
      </c>
      <c r="I50" s="62">
        <f>1+1</f>
        <v>2</v>
      </c>
      <c r="J50" s="62"/>
      <c r="K50" s="500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524" t="s">
        <v>21</v>
      </c>
      <c r="D51" s="41">
        <f t="shared" si="0"/>
        <v>1.6149999999999998</v>
      </c>
      <c r="E51" s="57">
        <f t="shared" si="11"/>
        <v>0</v>
      </c>
      <c r="F51" s="62"/>
      <c r="G51" s="63"/>
      <c r="H51" s="500">
        <f t="shared" si="1"/>
        <v>1.6149999999999998</v>
      </c>
      <c r="I51" s="62">
        <f>1.027+0.588</f>
        <v>1.6149999999999998</v>
      </c>
      <c r="J51" s="62"/>
      <c r="K51" s="500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523" t="s">
        <v>47</v>
      </c>
      <c r="D52" s="41">
        <f t="shared" si="0"/>
        <v>7</v>
      </c>
      <c r="E52" s="57">
        <f t="shared" si="11"/>
        <v>0</v>
      </c>
      <c r="F52" s="62"/>
      <c r="G52" s="63"/>
      <c r="H52" s="500">
        <f t="shared" si="1"/>
        <v>6</v>
      </c>
      <c r="I52" s="62">
        <f>4+1+1</f>
        <v>6</v>
      </c>
      <c r="J52" s="62"/>
      <c r="K52" s="500">
        <f t="shared" si="2"/>
        <v>1</v>
      </c>
      <c r="L52" s="62">
        <f>1</f>
        <v>1</v>
      </c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524" t="s">
        <v>21</v>
      </c>
      <c r="D53" s="41">
        <f t="shared" si="0"/>
        <v>77.078000000000003</v>
      </c>
      <c r="E53" s="57">
        <f t="shared" si="11"/>
        <v>0</v>
      </c>
      <c r="F53" s="62"/>
      <c r="G53" s="63"/>
      <c r="H53" s="500">
        <f t="shared" si="1"/>
        <v>67.210999999999999</v>
      </c>
      <c r="I53" s="62">
        <f>45.254+10.791+11.166</f>
        <v>67.210999999999999</v>
      </c>
      <c r="J53" s="62"/>
      <c r="K53" s="500">
        <f t="shared" si="2"/>
        <v>9.8670000000000009</v>
      </c>
      <c r="L53" s="62">
        <f>9.867</f>
        <v>9.8670000000000009</v>
      </c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523" t="s">
        <v>47</v>
      </c>
      <c r="D54" s="41">
        <f t="shared" si="0"/>
        <v>4</v>
      </c>
      <c r="E54" s="57">
        <f t="shared" si="11"/>
        <v>0</v>
      </c>
      <c r="F54" s="62"/>
      <c r="G54" s="63"/>
      <c r="H54" s="500">
        <f t="shared" si="1"/>
        <v>4</v>
      </c>
      <c r="I54" s="62">
        <f>2+2</f>
        <v>4</v>
      </c>
      <c r="J54" s="62"/>
      <c r="K54" s="500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524" t="s">
        <v>21</v>
      </c>
      <c r="D55" s="41">
        <f t="shared" si="0"/>
        <v>1.8460000000000001</v>
      </c>
      <c r="E55" s="57">
        <f t="shared" si="11"/>
        <v>0</v>
      </c>
      <c r="F55" s="62"/>
      <c r="G55" s="63"/>
      <c r="H55" s="500">
        <f t="shared" si="1"/>
        <v>1.8460000000000001</v>
      </c>
      <c r="I55" s="62">
        <f>1.202+0.644</f>
        <v>1.8460000000000001</v>
      </c>
      <c r="J55" s="62"/>
      <c r="K55" s="500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523" t="s">
        <v>24</v>
      </c>
      <c r="D56" s="41">
        <f t="shared" si="0"/>
        <v>2.4680000000000001E-3</v>
      </c>
      <c r="E56" s="57">
        <f t="shared" si="11"/>
        <v>0</v>
      </c>
      <c r="F56" s="62"/>
      <c r="G56" s="63"/>
      <c r="H56" s="500">
        <f t="shared" si="1"/>
        <v>0</v>
      </c>
      <c r="I56" s="62"/>
      <c r="J56" s="62"/>
      <c r="K56" s="500">
        <v>2.4680000000000001E-3</v>
      </c>
      <c r="L56" s="62"/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520" t="s">
        <v>21</v>
      </c>
      <c r="D57" s="41">
        <f t="shared" si="0"/>
        <v>8.8409999999999993</v>
      </c>
      <c r="E57" s="57">
        <f t="shared" si="11"/>
        <v>0</v>
      </c>
      <c r="F57" s="62"/>
      <c r="G57" s="63"/>
      <c r="H57" s="500">
        <f t="shared" si="1"/>
        <v>0</v>
      </c>
      <c r="I57" s="62"/>
      <c r="J57" s="62"/>
      <c r="K57" s="500">
        <v>8.8409999999999993</v>
      </c>
      <c r="L57" s="62"/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523" t="s">
        <v>47</v>
      </c>
      <c r="D58" s="41">
        <f t="shared" si="0"/>
        <v>0</v>
      </c>
      <c r="E58" s="57">
        <f t="shared" si="11"/>
        <v>0</v>
      </c>
      <c r="F58" s="62"/>
      <c r="G58" s="63"/>
      <c r="H58" s="500">
        <f t="shared" si="1"/>
        <v>0</v>
      </c>
      <c r="I58" s="62"/>
      <c r="J58" s="62"/>
      <c r="K58" s="500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520" t="s">
        <v>21</v>
      </c>
      <c r="D59" s="41">
        <f t="shared" si="0"/>
        <v>0</v>
      </c>
      <c r="E59" s="72">
        <f t="shared" si="11"/>
        <v>0</v>
      </c>
      <c r="F59" s="73"/>
      <c r="G59" s="74"/>
      <c r="H59" s="500">
        <f t="shared" si="1"/>
        <v>0</v>
      </c>
      <c r="I59" s="62"/>
      <c r="J59" s="62"/>
      <c r="K59" s="500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523" t="s">
        <v>47</v>
      </c>
      <c r="D60" s="41">
        <f t="shared" si="0"/>
        <v>0</v>
      </c>
      <c r="E60" s="158"/>
      <c r="F60" s="159"/>
      <c r="G60" s="160"/>
      <c r="H60" s="500">
        <f t="shared" si="1"/>
        <v>0</v>
      </c>
      <c r="I60" s="62"/>
      <c r="J60" s="62"/>
      <c r="K60" s="500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524" t="s">
        <v>21</v>
      </c>
      <c r="D61" s="41">
        <f t="shared" si="0"/>
        <v>0</v>
      </c>
      <c r="E61" s="166"/>
      <c r="F61" s="167"/>
      <c r="G61" s="168"/>
      <c r="H61" s="500">
        <f t="shared" si="1"/>
        <v>0</v>
      </c>
      <c r="I61" s="62"/>
      <c r="J61" s="62"/>
      <c r="K61" s="500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523" t="s">
        <v>24</v>
      </c>
      <c r="D62" s="41">
        <f t="shared" si="0"/>
        <v>0</v>
      </c>
      <c r="E62" s="158">
        <v>0</v>
      </c>
      <c r="F62" s="159"/>
      <c r="G62" s="160"/>
      <c r="H62" s="500">
        <f t="shared" si="1"/>
        <v>0</v>
      </c>
      <c r="I62" s="62"/>
      <c r="J62" s="62"/>
      <c r="K62" s="500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524" t="s">
        <v>21</v>
      </c>
      <c r="D63" s="41">
        <f t="shared" si="0"/>
        <v>0</v>
      </c>
      <c r="E63" s="166">
        <v>0</v>
      </c>
      <c r="F63" s="167"/>
      <c r="G63" s="168"/>
      <c r="H63" s="500">
        <f t="shared" si="1"/>
        <v>0</v>
      </c>
      <c r="I63" s="62"/>
      <c r="J63" s="62"/>
      <c r="K63" s="500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523" t="s">
        <v>47</v>
      </c>
      <c r="D64" s="41">
        <f t="shared" si="0"/>
        <v>0</v>
      </c>
      <c r="E64" s="158"/>
      <c r="F64" s="159"/>
      <c r="G64" s="160"/>
      <c r="H64" s="500">
        <f t="shared" si="1"/>
        <v>0</v>
      </c>
      <c r="I64" s="62"/>
      <c r="J64" s="62"/>
      <c r="K64" s="500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524" t="s">
        <v>21</v>
      </c>
      <c r="D65" s="41">
        <f t="shared" si="0"/>
        <v>0</v>
      </c>
      <c r="E65" s="166"/>
      <c r="F65" s="167"/>
      <c r="G65" s="168"/>
      <c r="H65" s="500">
        <f t="shared" si="1"/>
        <v>0</v>
      </c>
      <c r="I65" s="62"/>
      <c r="J65" s="62"/>
      <c r="K65" s="500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523" t="s">
        <v>47</v>
      </c>
      <c r="D66" s="41">
        <f t="shared" si="0"/>
        <v>0</v>
      </c>
      <c r="E66" s="158"/>
      <c r="F66" s="159"/>
      <c r="G66" s="160"/>
      <c r="H66" s="500">
        <f t="shared" si="1"/>
        <v>0</v>
      </c>
      <c r="I66" s="62"/>
      <c r="J66" s="62"/>
      <c r="K66" s="500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524" t="s">
        <v>21</v>
      </c>
      <c r="D67" s="41">
        <f t="shared" si="0"/>
        <v>0</v>
      </c>
      <c r="E67" s="166"/>
      <c r="F67" s="167"/>
      <c r="G67" s="168"/>
      <c r="H67" s="500">
        <f t="shared" si="1"/>
        <v>0</v>
      </c>
      <c r="I67" s="62"/>
      <c r="J67" s="62"/>
      <c r="K67" s="500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523" t="s">
        <v>79</v>
      </c>
      <c r="D68" s="41">
        <f t="shared" si="0"/>
        <v>0</v>
      </c>
      <c r="E68" s="158">
        <v>0</v>
      </c>
      <c r="F68" s="159"/>
      <c r="G68" s="160"/>
      <c r="H68" s="500">
        <f t="shared" si="1"/>
        <v>0</v>
      </c>
      <c r="I68" s="62"/>
      <c r="J68" s="62"/>
      <c r="K68" s="500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524" t="s">
        <v>21</v>
      </c>
      <c r="D69" s="41">
        <f t="shared" si="0"/>
        <v>0</v>
      </c>
      <c r="E69" s="166">
        <v>0</v>
      </c>
      <c r="F69" s="167"/>
      <c r="G69" s="168"/>
      <c r="H69" s="500">
        <f t="shared" si="1"/>
        <v>0</v>
      </c>
      <c r="I69" s="62"/>
      <c r="J69" s="62"/>
      <c r="K69" s="500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523" t="s">
        <v>24</v>
      </c>
      <c r="D70" s="41">
        <f t="shared" si="0"/>
        <v>0</v>
      </c>
      <c r="E70" s="158"/>
      <c r="F70" s="159"/>
      <c r="G70" s="160"/>
      <c r="H70" s="500">
        <f t="shared" si="1"/>
        <v>0</v>
      </c>
      <c r="I70" s="62"/>
      <c r="J70" s="62"/>
      <c r="K70" s="500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524" t="s">
        <v>21</v>
      </c>
      <c r="D71" s="41">
        <f t="shared" si="0"/>
        <v>0</v>
      </c>
      <c r="E71" s="166"/>
      <c r="F71" s="167"/>
      <c r="G71" s="168"/>
      <c r="H71" s="500">
        <f t="shared" si="1"/>
        <v>0</v>
      </c>
      <c r="I71" s="62"/>
      <c r="J71" s="62"/>
      <c r="K71" s="500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ht="17.25" thickTop="1" thickBot="1">
      <c r="A72" s="556" t="s">
        <v>81</v>
      </c>
      <c r="B72" s="557" t="s">
        <v>82</v>
      </c>
      <c r="C72" s="525" t="s">
        <v>21</v>
      </c>
      <c r="D72" s="41">
        <f t="shared" si="0"/>
        <v>507.34700000000004</v>
      </c>
      <c r="E72" s="558">
        <f t="shared" ref="E72:X72" si="13">E74+E84+E86</f>
        <v>0</v>
      </c>
      <c r="F72" s="558">
        <f t="shared" si="13"/>
        <v>0</v>
      </c>
      <c r="G72" s="559">
        <f t="shared" si="13"/>
        <v>0</v>
      </c>
      <c r="H72" s="41">
        <f t="shared" si="1"/>
        <v>491.77200000000005</v>
      </c>
      <c r="I72" s="560">
        <f>I74+I84+I86</f>
        <v>491.77200000000005</v>
      </c>
      <c r="J72" s="560">
        <f>J74+J84+J86</f>
        <v>0</v>
      </c>
      <c r="K72" s="41">
        <f t="shared" si="2"/>
        <v>15.575000000000001</v>
      </c>
      <c r="L72" s="561">
        <f t="shared" si="13"/>
        <v>15.575000000000001</v>
      </c>
      <c r="M72" s="561">
        <f t="shared" si="13"/>
        <v>0</v>
      </c>
      <c r="N72" s="558">
        <f t="shared" si="13"/>
        <v>0</v>
      </c>
      <c r="O72" s="558">
        <f t="shared" si="13"/>
        <v>0</v>
      </c>
      <c r="P72" s="558">
        <f t="shared" si="13"/>
        <v>0</v>
      </c>
      <c r="Q72" s="558">
        <f t="shared" si="13"/>
        <v>0</v>
      </c>
      <c r="R72" s="558">
        <f t="shared" si="13"/>
        <v>0</v>
      </c>
      <c r="S72" s="558">
        <f t="shared" si="13"/>
        <v>0</v>
      </c>
      <c r="T72" s="558">
        <f t="shared" si="13"/>
        <v>0</v>
      </c>
      <c r="U72" s="558">
        <f t="shared" si="13"/>
        <v>0</v>
      </c>
      <c r="V72" s="558">
        <f t="shared" si="13"/>
        <v>0</v>
      </c>
      <c r="W72" s="558">
        <f t="shared" si="13"/>
        <v>0</v>
      </c>
      <c r="X72" s="558">
        <f t="shared" si="13"/>
        <v>0</v>
      </c>
      <c r="Y72" s="9"/>
      <c r="Z72" s="9"/>
      <c r="AA72" s="9"/>
    </row>
    <row r="73" spans="1:27" ht="18.75" customHeight="1" thickTop="1" thickBot="1">
      <c r="A73" s="111">
        <v>18</v>
      </c>
      <c r="B73" s="180" t="s">
        <v>83</v>
      </c>
      <c r="C73" s="526" t="s">
        <v>51</v>
      </c>
      <c r="D73" s="41">
        <f t="shared" si="0"/>
        <v>0.3301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501">
        <f t="shared" si="1"/>
        <v>0.31059999999999999</v>
      </c>
      <c r="I73" s="18">
        <f t="shared" si="14"/>
        <v>0.31059999999999999</v>
      </c>
      <c r="J73" s="18">
        <f t="shared" si="14"/>
        <v>0</v>
      </c>
      <c r="K73" s="502">
        <f t="shared" si="2"/>
        <v>1.95E-2</v>
      </c>
      <c r="L73" s="18">
        <f t="shared" si="14"/>
        <v>1.95E-2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527" t="s">
        <v>21</v>
      </c>
      <c r="D74" s="41">
        <f t="shared" si="0"/>
        <v>412.54599999999999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501">
        <f t="shared" si="1"/>
        <v>396.971</v>
      </c>
      <c r="I74" s="18">
        <f>I76+I78+I80+I82</f>
        <v>396.971</v>
      </c>
      <c r="J74" s="18">
        <f>J76+J78+J80+J82</f>
        <v>0</v>
      </c>
      <c r="K74" s="502">
        <f t="shared" si="2"/>
        <v>15.575000000000001</v>
      </c>
      <c r="L74" s="18">
        <f>L76+L78+L80+L82</f>
        <v>15.575000000000001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527" t="s">
        <v>87</v>
      </c>
      <c r="D75" s="41">
        <f t="shared" si="0"/>
        <v>4.8299999999999996E-2</v>
      </c>
      <c r="E75" s="57">
        <f t="shared" ref="E75:E86" si="16">F75+G75</f>
        <v>0</v>
      </c>
      <c r="F75" s="62"/>
      <c r="G75" s="62"/>
      <c r="H75" s="501">
        <f t="shared" si="1"/>
        <v>4.2299999999999997E-2</v>
      </c>
      <c r="I75" s="20">
        <f>0+12/1000+0+1.2/1000+9/1000+9/1000+4/1000+3.5/1000+3.6/1000</f>
        <v>4.2299999999999997E-2</v>
      </c>
      <c r="J75" s="20"/>
      <c r="K75" s="502">
        <f t="shared" si="2"/>
        <v>6.0000000000000001E-3</v>
      </c>
      <c r="L75" s="20">
        <f>6/1000</f>
        <v>6.0000000000000001E-3</v>
      </c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527" t="s">
        <v>21</v>
      </c>
      <c r="D76" s="41">
        <f t="shared" si="0"/>
        <v>45.631999999999998</v>
      </c>
      <c r="E76" s="57">
        <f t="shared" si="16"/>
        <v>0</v>
      </c>
      <c r="F76" s="62"/>
      <c r="G76" s="62"/>
      <c r="H76" s="501">
        <f t="shared" si="1"/>
        <v>41.269999999999996</v>
      </c>
      <c r="I76" s="20">
        <f>0.647+11.267+1.604+0.322+1.604+0.322+2.072+0.235+0.428+0.322+0.858+0.647+0.356+0.215+0.647+5.704+5.704+3.216+2.766+2.334</f>
        <v>41.269999999999996</v>
      </c>
      <c r="J76" s="20"/>
      <c r="K76" s="502">
        <f t="shared" si="2"/>
        <v>4.3620000000000001</v>
      </c>
      <c r="L76" s="20">
        <f>4.362</f>
        <v>4.3620000000000001</v>
      </c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527" t="s">
        <v>51</v>
      </c>
      <c r="D77" s="41">
        <f t="shared" ref="D77:D97" si="22">H77+K77</f>
        <v>7.3000000000000009E-2</v>
      </c>
      <c r="E77" s="57">
        <f t="shared" si="16"/>
        <v>0</v>
      </c>
      <c r="F77" s="62"/>
      <c r="G77" s="62"/>
      <c r="H77" s="501">
        <f t="shared" si="1"/>
        <v>5.9500000000000011E-2</v>
      </c>
      <c r="I77" s="20">
        <f>4/1000+1/1000+5/1000+4/1000+6/1000+2/1000+9/1000+9/1000+6/1000+4/1000+3.5/1000+2/1000+4/1000</f>
        <v>5.9500000000000011E-2</v>
      </c>
      <c r="J77" s="20"/>
      <c r="K77" s="502">
        <f t="shared" si="2"/>
        <v>1.35E-2</v>
      </c>
      <c r="L77" s="20">
        <f>1.5/1000+6/1000+2/1000+4/1000</f>
        <v>1.35E-2</v>
      </c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527" t="s">
        <v>21</v>
      </c>
      <c r="D78" s="41">
        <f t="shared" si="22"/>
        <v>55.418000000000006</v>
      </c>
      <c r="E78" s="57">
        <f t="shared" si="16"/>
        <v>0</v>
      </c>
      <c r="F78" s="62"/>
      <c r="G78" s="62"/>
      <c r="H78" s="501">
        <f t="shared" ref="H78:H97" si="23">I78+J78</f>
        <v>44.205000000000005</v>
      </c>
      <c r="I78" s="20">
        <f>2.964+1.024+3.395+2.707+0.215+4.472+0.322+2.812+5.704+5.704+8.075+2.766+1.279+2.766</f>
        <v>44.205000000000005</v>
      </c>
      <c r="J78" s="20"/>
      <c r="K78" s="502">
        <f t="shared" ref="K78:K97" si="24">L78+M78</f>
        <v>11.213000000000001</v>
      </c>
      <c r="L78" s="516">
        <f>1.074+6.046+4.093</f>
        <v>11.213000000000001</v>
      </c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527" t="s">
        <v>51</v>
      </c>
      <c r="D79" s="41">
        <f t="shared" si="22"/>
        <v>4.200000000000001E-2</v>
      </c>
      <c r="E79" s="57">
        <f t="shared" si="16"/>
        <v>0</v>
      </c>
      <c r="F79" s="62"/>
      <c r="G79" s="62"/>
      <c r="H79" s="501">
        <f t="shared" si="23"/>
        <v>4.200000000000001E-2</v>
      </c>
      <c r="I79" s="20">
        <f>2/1000+1/1000+1/1000+2/1000+6/1000+11/1000+2/1000+12/1000+1/1000+2/1000+1/1000+1/1000</f>
        <v>4.200000000000001E-2</v>
      </c>
      <c r="J79" s="20"/>
      <c r="K79" s="502">
        <f t="shared" si="24"/>
        <v>0</v>
      </c>
      <c r="L79" s="20"/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527" t="s">
        <v>21</v>
      </c>
      <c r="D80" s="41">
        <f t="shared" si="22"/>
        <v>38.422999999999995</v>
      </c>
      <c r="E80" s="57">
        <f t="shared" si="16"/>
        <v>0</v>
      </c>
      <c r="F80" s="62"/>
      <c r="G80" s="62"/>
      <c r="H80" s="501">
        <f t="shared" si="23"/>
        <v>38.422999999999995</v>
      </c>
      <c r="I80" s="20">
        <f>1.873+1.711+1.509+1.358+7.056+1.697+8.035+1.823+8.405+1.165+2.626+1.165</f>
        <v>38.422999999999995</v>
      </c>
      <c r="J80" s="20"/>
      <c r="K80" s="502">
        <f t="shared" si="24"/>
        <v>0</v>
      </c>
      <c r="L80" s="20"/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527" t="s">
        <v>51</v>
      </c>
      <c r="D81" s="41">
        <f t="shared" si="22"/>
        <v>0.1668</v>
      </c>
      <c r="E81" s="57">
        <f t="shared" si="16"/>
        <v>0</v>
      </c>
      <c r="F81" s="62"/>
      <c r="G81" s="62"/>
      <c r="H81" s="501">
        <f t="shared" si="23"/>
        <v>0.1668</v>
      </c>
      <c r="I81" s="20">
        <f>4/1000+1/1000+3/1000+4/1000+20/1000+10/1000+4/1000+4/1000+6/1000+6/1000+6/1000+2.5/1000+2.3/1000+3/1000+2/1000+3.5/1000+83.5/1000+2/1000</f>
        <v>0.1668</v>
      </c>
      <c r="J81" s="20"/>
      <c r="K81" s="502">
        <f t="shared" si="24"/>
        <v>0</v>
      </c>
      <c r="L81" s="20"/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528" t="s">
        <v>21</v>
      </c>
      <c r="D82" s="41">
        <f t="shared" si="22"/>
        <v>273.07299999999998</v>
      </c>
      <c r="E82" s="57">
        <f t="shared" si="16"/>
        <v>0</v>
      </c>
      <c r="F82" s="62"/>
      <c r="G82" s="62"/>
      <c r="H82" s="501">
        <f t="shared" si="23"/>
        <v>273.07299999999998</v>
      </c>
      <c r="I82" s="20">
        <f>6.982+1.805+4.883+6.76+33.865+17.134+6.825+6.905+3.207+3.207+3.207+4.418+3.804+5.244+3.362+158.262+3.203</f>
        <v>273.07299999999998</v>
      </c>
      <c r="J82" s="20"/>
      <c r="K82" s="502">
        <f t="shared" si="24"/>
        <v>0</v>
      </c>
      <c r="L82" s="20"/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529" t="s">
        <v>47</v>
      </c>
      <c r="D83" s="41">
        <f t="shared" si="22"/>
        <v>6</v>
      </c>
      <c r="E83" s="57">
        <f t="shared" si="16"/>
        <v>0</v>
      </c>
      <c r="F83" s="62"/>
      <c r="G83" s="62"/>
      <c r="H83" s="501">
        <f t="shared" si="23"/>
        <v>6</v>
      </c>
      <c r="I83" s="20">
        <f>1+1+1+1+1+1</f>
        <v>6</v>
      </c>
      <c r="J83" s="20"/>
      <c r="K83" s="502">
        <f t="shared" si="24"/>
        <v>0</v>
      </c>
      <c r="L83" s="20"/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530" t="s">
        <v>21</v>
      </c>
      <c r="D84" s="41">
        <f t="shared" si="22"/>
        <v>40.181999999999995</v>
      </c>
      <c r="E84" s="57">
        <f t="shared" si="16"/>
        <v>0</v>
      </c>
      <c r="F84" s="62"/>
      <c r="G84" s="62"/>
      <c r="H84" s="501">
        <f t="shared" si="23"/>
        <v>40.181999999999995</v>
      </c>
      <c r="I84" s="20">
        <f>5.893+5.35+7.235+14.469+7.235</f>
        <v>40.181999999999995</v>
      </c>
      <c r="J84" s="20"/>
      <c r="K84" s="502">
        <f t="shared" si="24"/>
        <v>0</v>
      </c>
      <c r="L84" s="20"/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529" t="s">
        <v>47</v>
      </c>
      <c r="D85" s="41">
        <f t="shared" si="22"/>
        <v>29</v>
      </c>
      <c r="E85" s="57">
        <f t="shared" si="16"/>
        <v>0</v>
      </c>
      <c r="F85" s="62"/>
      <c r="G85" s="62"/>
      <c r="H85" s="501">
        <f t="shared" si="23"/>
        <v>29</v>
      </c>
      <c r="I85" s="20">
        <f>1+2+1+1+1+1+1+1+3+1+1+1+1+2+1+3+1+1+1+1+1+2</f>
        <v>29</v>
      </c>
      <c r="J85" s="20"/>
      <c r="K85" s="502">
        <f t="shared" si="24"/>
        <v>0</v>
      </c>
      <c r="L85" s="20"/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530" t="s">
        <v>21</v>
      </c>
      <c r="D86" s="41">
        <f t="shared" si="22"/>
        <v>54.619000000000007</v>
      </c>
      <c r="E86" s="57">
        <f t="shared" si="16"/>
        <v>0</v>
      </c>
      <c r="F86" s="62"/>
      <c r="G86" s="62"/>
      <c r="H86" s="501">
        <f t="shared" si="23"/>
        <v>54.619000000000007</v>
      </c>
      <c r="I86" s="20">
        <f>0.661+21.579+0.969+0.856+0.856+0.785+1.868+1.077+5.6+0.785+1.624+0.785+5.45+1.415+1.346+2.761+0.785+1.506+0.68+1.077+0.661+1.493</f>
        <v>54.619000000000007</v>
      </c>
      <c r="J86" s="20"/>
      <c r="K86" s="502">
        <f t="shared" si="24"/>
        <v>0</v>
      </c>
      <c r="L86" s="20"/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ht="17.25" thickTop="1" thickBot="1">
      <c r="A87" s="531" t="s">
        <v>98</v>
      </c>
      <c r="B87" s="557" t="s">
        <v>99</v>
      </c>
      <c r="C87" s="531" t="s">
        <v>21</v>
      </c>
      <c r="D87" s="41">
        <f t="shared" si="22"/>
        <v>280.58899999999994</v>
      </c>
      <c r="E87" s="558">
        <f t="shared" ref="E87:X87" si="25">E89+E91+E93</f>
        <v>0</v>
      </c>
      <c r="F87" s="558">
        <f t="shared" si="25"/>
        <v>0</v>
      </c>
      <c r="G87" s="558">
        <f t="shared" si="25"/>
        <v>0</v>
      </c>
      <c r="H87" s="41">
        <f t="shared" si="23"/>
        <v>249.26599999999996</v>
      </c>
      <c r="I87" s="564">
        <f t="shared" si="25"/>
        <v>249.26599999999996</v>
      </c>
      <c r="J87" s="564">
        <f t="shared" si="25"/>
        <v>0</v>
      </c>
      <c r="K87" s="41">
        <f t="shared" si="24"/>
        <v>31.323</v>
      </c>
      <c r="L87" s="564">
        <f t="shared" si="25"/>
        <v>31.323</v>
      </c>
      <c r="M87" s="564">
        <f t="shared" si="25"/>
        <v>0</v>
      </c>
      <c r="N87" s="558">
        <f t="shared" si="25"/>
        <v>0</v>
      </c>
      <c r="O87" s="558">
        <f t="shared" si="25"/>
        <v>0</v>
      </c>
      <c r="P87" s="558">
        <f t="shared" si="25"/>
        <v>0</v>
      </c>
      <c r="Q87" s="558">
        <f t="shared" si="25"/>
        <v>0</v>
      </c>
      <c r="R87" s="558">
        <f t="shared" si="25"/>
        <v>0</v>
      </c>
      <c r="S87" s="558">
        <f t="shared" si="25"/>
        <v>0</v>
      </c>
      <c r="T87" s="558">
        <f t="shared" si="25"/>
        <v>0</v>
      </c>
      <c r="U87" s="558">
        <f t="shared" si="25"/>
        <v>0</v>
      </c>
      <c r="V87" s="558">
        <f t="shared" si="25"/>
        <v>0</v>
      </c>
      <c r="W87" s="558">
        <f t="shared" si="25"/>
        <v>0</v>
      </c>
      <c r="X87" s="558">
        <f t="shared" si="25"/>
        <v>0</v>
      </c>
    </row>
    <row r="88" spans="1:27" ht="17.25" thickTop="1" thickBot="1">
      <c r="A88" s="153">
        <v>20</v>
      </c>
      <c r="B88" s="3" t="s">
        <v>100</v>
      </c>
      <c r="C88" s="523" t="s">
        <v>51</v>
      </c>
      <c r="D88" s="41">
        <f t="shared" si="22"/>
        <v>0.28400000000000003</v>
      </c>
      <c r="E88" s="57">
        <f>F88+G88</f>
        <v>0</v>
      </c>
      <c r="F88" s="62"/>
      <c r="G88" s="62"/>
      <c r="H88" s="500">
        <f t="shared" si="23"/>
        <v>0.23800000000000004</v>
      </c>
      <c r="I88" s="196">
        <f>25/1000+55/1000+5/1000+15/1000+16/1000+25/1000+15/1000+4/1000+70/1000+8/1000</f>
        <v>0.23800000000000004</v>
      </c>
      <c r="J88" s="197"/>
      <c r="K88" s="500">
        <f t="shared" si="24"/>
        <v>4.5999999999999999E-2</v>
      </c>
      <c r="L88" s="62">
        <f>20/1000+25/1000+1/1000</f>
        <v>4.5999999999999999E-2</v>
      </c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524" t="s">
        <v>21</v>
      </c>
      <c r="D89" s="41">
        <f t="shared" si="22"/>
        <v>33.202000000000005</v>
      </c>
      <c r="E89" s="57">
        <f>F89+G89</f>
        <v>0</v>
      </c>
      <c r="F89" s="62"/>
      <c r="G89" s="62"/>
      <c r="H89" s="500">
        <f t="shared" si="23"/>
        <v>28.361000000000004</v>
      </c>
      <c r="I89" s="196">
        <f>2.574+9.334+0.514+1.545+1.646+2.631+1.545+0.545+7.203+0.824</f>
        <v>28.361000000000004</v>
      </c>
      <c r="J89" s="197"/>
      <c r="K89" s="500">
        <f t="shared" si="24"/>
        <v>4.8410000000000002</v>
      </c>
      <c r="L89" s="62">
        <f>2.106+2.631+0.104</f>
        <v>4.8410000000000002</v>
      </c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18" t="s">
        <v>47</v>
      </c>
      <c r="D90" s="41">
        <f t="shared" si="22"/>
        <v>256</v>
      </c>
      <c r="E90" s="57">
        <v>0</v>
      </c>
      <c r="F90" s="62"/>
      <c r="G90" s="62"/>
      <c r="H90" s="500">
        <f>I90+J91</f>
        <v>205</v>
      </c>
      <c r="I90" s="196">
        <f>2+2+1+1+1+4+30+4+2+5+43+11+1+1+10+2+2+1+4+4+2+13+6+8+4+2+2+4+4+1+10+5+4+2+6+1</f>
        <v>205</v>
      </c>
      <c r="K90" s="500">
        <f t="shared" si="24"/>
        <v>51</v>
      </c>
      <c r="L90" s="62">
        <f>12+2+13+2+2+1+1+3+4+7+4</f>
        <v>51</v>
      </c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93" t="s">
        <v>21</v>
      </c>
      <c r="D91" s="41">
        <f t="shared" si="22"/>
        <v>218.01499999999996</v>
      </c>
      <c r="E91" s="57">
        <f>F91+G91</f>
        <v>0</v>
      </c>
      <c r="F91" s="62"/>
      <c r="G91" s="62"/>
      <c r="H91" s="500">
        <f t="shared" ref="H91:H93" si="31">I91+J92</f>
        <v>191.53299999999996</v>
      </c>
      <c r="I91" s="196">
        <f>2.739+0.611+2.516+26.137+22.407+84.476+6.124+1.224+2.039+2.328+1.224+7.912+8.561+2.454+1.224+2.446+3.706+1.903+5.009+3.292+1.224+1.395+0.582</f>
        <v>191.53299999999996</v>
      </c>
      <c r="J91" s="197"/>
      <c r="K91" s="500">
        <f t="shared" si="24"/>
        <v>26.481999999999999</v>
      </c>
      <c r="L91" s="62">
        <f>7.302+3.808+1.879+1.879+3.101+3.87+2.256+2.387</f>
        <v>26.481999999999999</v>
      </c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523" t="s">
        <v>47</v>
      </c>
      <c r="D92" s="41">
        <f t="shared" si="22"/>
        <v>18</v>
      </c>
      <c r="E92" s="57">
        <f>F92+G92</f>
        <v>0</v>
      </c>
      <c r="F92" s="62"/>
      <c r="G92" s="62"/>
      <c r="H92" s="500">
        <f t="shared" si="31"/>
        <v>18</v>
      </c>
      <c r="I92" s="196">
        <f>4+5+1+1+3+2+2</f>
        <v>18</v>
      </c>
      <c r="J92" s="197"/>
      <c r="K92" s="500">
        <f t="shared" si="24"/>
        <v>0</v>
      </c>
      <c r="L92" s="62"/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84" t="s">
        <v>21</v>
      </c>
      <c r="D93" s="41">
        <f t="shared" si="22"/>
        <v>29.372000000000003</v>
      </c>
      <c r="E93" s="57">
        <f>F93+G93</f>
        <v>0</v>
      </c>
      <c r="F93" s="62"/>
      <c r="G93" s="62"/>
      <c r="H93" s="500">
        <f t="shared" si="31"/>
        <v>29.372000000000003</v>
      </c>
      <c r="I93" s="196">
        <f>7.616+6.335+4.604+1.565+4.604+1.58+3.068</f>
        <v>29.372000000000003</v>
      </c>
      <c r="J93" s="197"/>
      <c r="K93" s="500">
        <f t="shared" si="24"/>
        <v>0</v>
      </c>
      <c r="L93" s="62"/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ht="38.25" customHeight="1" thickTop="1" thickBot="1">
      <c r="A94" s="532" t="s">
        <v>106</v>
      </c>
      <c r="B94" s="562" t="s">
        <v>107</v>
      </c>
      <c r="C94" s="532" t="s">
        <v>21</v>
      </c>
      <c r="D94" s="41">
        <f t="shared" si="22"/>
        <v>0</v>
      </c>
      <c r="E94" s="563">
        <f t="shared" ref="E94:X94" si="32">E95+E96</f>
        <v>0</v>
      </c>
      <c r="F94" s="563">
        <f t="shared" si="32"/>
        <v>0</v>
      </c>
      <c r="G94" s="563">
        <f t="shared" si="32"/>
        <v>0</v>
      </c>
      <c r="H94" s="41">
        <f t="shared" si="23"/>
        <v>0</v>
      </c>
      <c r="I94" s="563">
        <f t="shared" si="32"/>
        <v>0</v>
      </c>
      <c r="J94" s="563">
        <f t="shared" si="32"/>
        <v>0</v>
      </c>
      <c r="K94" s="41">
        <f t="shared" si="24"/>
        <v>0</v>
      </c>
      <c r="L94" s="563">
        <f t="shared" si="32"/>
        <v>0</v>
      </c>
      <c r="M94" s="563">
        <f t="shared" si="32"/>
        <v>0</v>
      </c>
      <c r="N94" s="563">
        <f t="shared" si="32"/>
        <v>0</v>
      </c>
      <c r="O94" s="563">
        <f t="shared" si="32"/>
        <v>0</v>
      </c>
      <c r="P94" s="563">
        <f t="shared" si="32"/>
        <v>0</v>
      </c>
      <c r="Q94" s="563">
        <f t="shared" si="32"/>
        <v>0</v>
      </c>
      <c r="R94" s="563">
        <f t="shared" si="32"/>
        <v>0</v>
      </c>
      <c r="S94" s="563">
        <f t="shared" si="32"/>
        <v>0</v>
      </c>
      <c r="T94" s="563">
        <f t="shared" si="32"/>
        <v>0</v>
      </c>
      <c r="U94" s="563">
        <f t="shared" si="32"/>
        <v>0</v>
      </c>
      <c r="V94" s="563">
        <f t="shared" si="32"/>
        <v>0</v>
      </c>
      <c r="W94" s="563">
        <f t="shared" si="32"/>
        <v>0</v>
      </c>
      <c r="X94" s="563">
        <f t="shared" si="32"/>
        <v>0</v>
      </c>
    </row>
    <row r="95" spans="1:27" ht="17.25" thickTop="1" thickBot="1">
      <c r="A95" s="76" t="s">
        <v>108</v>
      </c>
      <c r="B95" s="206" t="s">
        <v>194</v>
      </c>
      <c r="C95" s="533" t="s">
        <v>21</v>
      </c>
      <c r="D95" s="41">
        <f t="shared" si="22"/>
        <v>0</v>
      </c>
      <c r="E95" s="57">
        <f>F95+G95</f>
        <v>0</v>
      </c>
      <c r="F95" s="62"/>
      <c r="G95" s="62"/>
      <c r="H95" s="500">
        <f t="shared" si="23"/>
        <v>0</v>
      </c>
      <c r="I95" s="62"/>
      <c r="J95" s="62"/>
      <c r="K95" s="500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521" t="s">
        <v>21</v>
      </c>
      <c r="D96" s="41">
        <f t="shared" si="22"/>
        <v>0</v>
      </c>
      <c r="E96" s="57">
        <f>F96+G96</f>
        <v>0</v>
      </c>
      <c r="F96" s="62"/>
      <c r="G96" s="62"/>
      <c r="H96" s="500">
        <f t="shared" si="23"/>
        <v>0</v>
      </c>
      <c r="I96" s="62"/>
      <c r="J96" s="62"/>
      <c r="K96" s="500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4" ht="16.5" thickBot="1">
      <c r="A97" s="78" t="s">
        <v>110</v>
      </c>
      <c r="B97" s="206" t="s">
        <v>111</v>
      </c>
      <c r="C97" s="521" t="s">
        <v>21</v>
      </c>
      <c r="D97" s="41">
        <f t="shared" si="22"/>
        <v>194.66600000000003</v>
      </c>
      <c r="E97" s="57">
        <f>F97+G97</f>
        <v>0</v>
      </c>
      <c r="F97" s="62"/>
      <c r="G97" s="62"/>
      <c r="H97" s="500">
        <f t="shared" si="23"/>
        <v>174.46400000000003</v>
      </c>
      <c r="I97" s="62">
        <f>3.493+3.493+3.493+4.261+4.937+4.6+4.6+4.261+38.145+1.707+5.01+2.215+1.069+2.138+1.069+11.092+2.138+13.335+11.092+10.994+12.456+0.769+3.171+10.994+4.417+3.171+6.344</f>
        <v>174.46400000000003</v>
      </c>
      <c r="J97" s="62"/>
      <c r="K97" s="500">
        <f t="shared" si="24"/>
        <v>20.201999999999998</v>
      </c>
      <c r="L97" s="62">
        <f>4.937+6.138+2.046+4.105+2.509+0.467</f>
        <v>20.201999999999998</v>
      </c>
      <c r="M97" s="62"/>
      <c r="N97" s="57">
        <f>O97</f>
        <v>0</v>
      </c>
      <c r="O97" s="208"/>
      <c r="P97" s="57">
        <f>Q97</f>
        <v>0</v>
      </c>
      <c r="Q97" s="79"/>
      <c r="R97" s="57">
        <f>S97+T97</f>
        <v>0</v>
      </c>
      <c r="S97" s="79"/>
      <c r="T97" s="79"/>
      <c r="U97" s="57">
        <f>V97</f>
        <v>0</v>
      </c>
      <c r="V97" s="79"/>
      <c r="W97" s="57">
        <f>X97</f>
        <v>0</v>
      </c>
      <c r="X97" s="79"/>
    </row>
    <row r="98" spans="1:24" ht="16.5" thickBot="1">
      <c r="A98" s="215"/>
      <c r="B98" s="216" t="s">
        <v>112</v>
      </c>
      <c r="C98" s="534" t="s">
        <v>21</v>
      </c>
      <c r="D98" s="41">
        <f>H98+K98</f>
        <v>2004.857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500">
        <f>I98+J98</f>
        <v>1826.396</v>
      </c>
      <c r="I98" s="144">
        <f>I97+I94+I87+I72+I13</f>
        <v>1826.396</v>
      </c>
      <c r="J98" s="144">
        <f>J97+J94+J87+J72+J13</f>
        <v>0</v>
      </c>
      <c r="K98" s="500">
        <f>L98+M98</f>
        <v>178.46100000000001</v>
      </c>
      <c r="L98" s="218">
        <f t="shared" si="33"/>
        <v>178.46100000000001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4" s="26" customFormat="1" ht="13.5" thickTop="1">
      <c r="A99" s="24"/>
      <c r="B99" s="25"/>
      <c r="C99" s="25"/>
      <c r="D99" s="25">
        <v>80648.726999999999</v>
      </c>
      <c r="E99" s="25">
        <f>80648.727-D98</f>
        <v>78643.87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6" customFormat="1" ht="12.75">
      <c r="A100" s="27"/>
      <c r="B100" s="27"/>
      <c r="C100" s="27"/>
      <c r="D100" s="219">
        <f>I51</f>
        <v>1.6149999999999998</v>
      </c>
      <c r="E100" s="27"/>
      <c r="F100" s="27"/>
      <c r="G100" s="27"/>
      <c r="H100" s="27"/>
      <c r="I100" s="27">
        <f>H97-I97</f>
        <v>0</v>
      </c>
      <c r="J100" s="27">
        <f>I97+E99</f>
        <v>78818.334000000003</v>
      </c>
      <c r="K100" s="27"/>
      <c r="L100" s="27"/>
      <c r="M100" s="27">
        <f>9567.184-K98</f>
        <v>9388.723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4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4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4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4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4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4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4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4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4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4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4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4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>
        <f>I143+I149+I153</f>
        <v>2</v>
      </c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>
        <f>I144+I150+I154</f>
        <v>0.24243999999999999</v>
      </c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/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/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>
        <v>2</v>
      </c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>
        <f>2*121.22/1000</f>
        <v>0.24243999999999999</v>
      </c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286</v>
      </c>
      <c r="B157" s="5"/>
      <c r="C157" s="5"/>
      <c r="D157" s="5"/>
      <c r="E157" s="5"/>
    </row>
    <row r="158" spans="1:24" s="6" customFormat="1">
      <c r="A158" s="1748" t="s">
        <v>287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 t="s">
        <v>213</v>
      </c>
      <c r="B160" s="5"/>
      <c r="C160" s="5"/>
      <c r="D160" s="5"/>
      <c r="E160" s="5"/>
    </row>
    <row r="163" ht="6" customHeight="1"/>
  </sheetData>
  <mergeCells count="22">
    <mergeCell ref="A14:A16"/>
    <mergeCell ref="A101:T101"/>
    <mergeCell ref="A158:D15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63"/>
  <sheetViews>
    <sheetView topLeftCell="A7" zoomScale="80" zoomScaleNormal="80" workbookViewId="0">
      <selection activeCell="A157" sqref="A157:XFD158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210</v>
      </c>
      <c r="U6" s="1755"/>
      <c r="V6" s="1755"/>
      <c r="W6" s="1755"/>
      <c r="X6" s="1755"/>
    </row>
    <row r="7" spans="1:27" ht="53.25" customHeight="1">
      <c r="A7" s="1754" t="s">
        <v>209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6" t="s">
        <v>190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30"/>
      <c r="P8" s="266"/>
      <c r="Q8" s="266"/>
      <c r="R8" s="266"/>
      <c r="S8" s="266"/>
      <c r="T8" s="266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484.95799999999991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434.64499999999992</v>
      </c>
      <c r="I13" s="41">
        <f>I16+I23+I34+I36+I39+I41+I43+I45+I47+I49+I51+I53+I55+I57+I59+I61+I63+I65+I67+I69+I71</f>
        <v>434.64499999999992</v>
      </c>
      <c r="J13" s="41">
        <f>J16+J23+J34+J36+J39+J41+J43+J45+J47+J49+J51+J53+J55+J57+J59+J61+J63+J65+J67+J69+J71</f>
        <v>0</v>
      </c>
      <c r="K13" s="41">
        <f>L13+M13</f>
        <v>50.313000000000002</v>
      </c>
      <c r="L13" s="41">
        <f>L16+L23+L34+L36+L39+L41+L43+L45+L47+L49+L51+L53+L55+L57+L59+L61+L63+L65+L67+L69+L71</f>
        <v>50.313000000000002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5</v>
      </c>
      <c r="E14" s="46"/>
      <c r="F14" s="46"/>
      <c r="G14" s="47"/>
      <c r="H14" s="48">
        <f t="shared" ref="H14:H77" si="1">I14+J14</f>
        <v>4</v>
      </c>
      <c r="I14" s="16">
        <v>4</v>
      </c>
      <c r="J14" s="16">
        <v>0</v>
      </c>
      <c r="K14" s="49">
        <f t="shared" ref="K14:K77" si="2">L14+M14</f>
        <v>1</v>
      </c>
      <c r="L14" s="16">
        <v>1</v>
      </c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4.0730000000000002E-2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3.1730000000000001E-2</v>
      </c>
      <c r="I15" s="18">
        <f>I17+I19</f>
        <v>3.1730000000000001E-2</v>
      </c>
      <c r="J15" s="18">
        <f>J17+J19</f>
        <v>0</v>
      </c>
      <c r="K15" s="49">
        <f t="shared" si="2"/>
        <v>8.9999999999999993E-3</v>
      </c>
      <c r="L15" s="18">
        <f>L17+L19</f>
        <v>8.9999999999999993E-3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17.088999999999999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14.413999999999998</v>
      </c>
      <c r="I16" s="18">
        <f>I18+I20+I21</f>
        <v>14.413999999999998</v>
      </c>
      <c r="J16" s="18">
        <f>J18+J20+J21</f>
        <v>0</v>
      </c>
      <c r="K16" s="49">
        <f t="shared" si="2"/>
        <v>2.6749999999999998</v>
      </c>
      <c r="L16" s="18">
        <f>L18+L20+L21</f>
        <v>2.6749999999999998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6.0000000000000001E-3</v>
      </c>
      <c r="E17" s="57">
        <f>F17+G17</f>
        <v>0</v>
      </c>
      <c r="F17" s="62"/>
      <c r="G17" s="63"/>
      <c r="H17" s="48">
        <f t="shared" si="1"/>
        <v>6.0000000000000001E-3</v>
      </c>
      <c r="I17" s="261">
        <v>6.0000000000000001E-3</v>
      </c>
      <c r="J17" s="20">
        <v>0</v>
      </c>
      <c r="K17" s="49">
        <v>0</v>
      </c>
      <c r="L17" s="20">
        <v>0</v>
      </c>
      <c r="M17" s="20">
        <v>0</v>
      </c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1.145</v>
      </c>
      <c r="E18" s="57">
        <f>F18+G18</f>
        <v>0</v>
      </c>
      <c r="F18" s="62"/>
      <c r="G18" s="63"/>
      <c r="H18" s="48">
        <f t="shared" si="1"/>
        <v>1.145</v>
      </c>
      <c r="I18" s="20">
        <v>1.145</v>
      </c>
      <c r="J18" s="20">
        <v>0</v>
      </c>
      <c r="K18" s="49">
        <v>0</v>
      </c>
      <c r="L18" s="20">
        <v>0</v>
      </c>
      <c r="M18" s="20">
        <v>0</v>
      </c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3.4730000000000004E-2</v>
      </c>
      <c r="E19" s="57">
        <f>F19+G19</f>
        <v>0</v>
      </c>
      <c r="F19" s="62"/>
      <c r="G19" s="63"/>
      <c r="H19" s="48">
        <f t="shared" si="1"/>
        <v>2.5730000000000003E-2</v>
      </c>
      <c r="I19" s="28">
        <v>2.5730000000000003E-2</v>
      </c>
      <c r="J19" s="20"/>
      <c r="K19" s="49">
        <v>8.9999999999999993E-3</v>
      </c>
      <c r="L19" s="20">
        <v>8.9999999999999993E-3</v>
      </c>
      <c r="M19" s="20"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15.943999999999999</v>
      </c>
      <c r="E20" s="72">
        <f>F20+G20</f>
        <v>0</v>
      </c>
      <c r="F20" s="73"/>
      <c r="G20" s="74"/>
      <c r="H20" s="48">
        <f t="shared" si="1"/>
        <v>13.268999999999998</v>
      </c>
      <c r="I20" s="20">
        <v>13.268999999999998</v>
      </c>
      <c r="J20" s="20"/>
      <c r="K20" s="49">
        <v>2.6749999999999998</v>
      </c>
      <c r="L20" s="20">
        <v>2.6749999999999998</v>
      </c>
      <c r="M20" s="20"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0</v>
      </c>
      <c r="E22" s="85"/>
      <c r="F22" s="86"/>
      <c r="G22" s="87"/>
      <c r="H22" s="41">
        <f t="shared" si="1"/>
        <v>0</v>
      </c>
      <c r="I22" s="86"/>
      <c r="J22" s="86"/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0</v>
      </c>
      <c r="E23" s="94"/>
      <c r="F23" s="95"/>
      <c r="G23" s="96"/>
      <c r="H23" s="41">
        <f t="shared" si="1"/>
        <v>0</v>
      </c>
      <c r="I23" s="95">
        <f>I25+I27+I29+I31+I32</f>
        <v>0</v>
      </c>
      <c r="J23" s="95">
        <f>J25+J27+J29+J31+J32</f>
        <v>0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0</v>
      </c>
      <c r="E24" s="57"/>
      <c r="F24" s="62"/>
      <c r="G24" s="63"/>
      <c r="H24" s="41">
        <f t="shared" si="1"/>
        <v>0</v>
      </c>
      <c r="I24" s="101"/>
      <c r="J24" s="101"/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0</v>
      </c>
      <c r="E25" s="57"/>
      <c r="F25" s="62"/>
      <c r="G25" s="63"/>
      <c r="H25" s="41">
        <f t="shared" si="1"/>
        <v>0</v>
      </c>
      <c r="I25" s="101"/>
      <c r="J25" s="101"/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0</v>
      </c>
      <c r="E26" s="57"/>
      <c r="F26" s="62"/>
      <c r="G26" s="63"/>
      <c r="H26" s="41">
        <f t="shared" si="1"/>
        <v>0</v>
      </c>
      <c r="I26" s="101"/>
      <c r="J26" s="101"/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0</v>
      </c>
      <c r="E27" s="57"/>
      <c r="F27" s="62"/>
      <c r="G27" s="63"/>
      <c r="H27" s="41">
        <f t="shared" si="1"/>
        <v>0</v>
      </c>
      <c r="I27" s="101"/>
      <c r="J27" s="101"/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/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/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/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/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0</v>
      </c>
      <c r="E32" s="57"/>
      <c r="F32" s="62"/>
      <c r="G32" s="63"/>
      <c r="H32" s="41">
        <f t="shared" si="1"/>
        <v>0</v>
      </c>
      <c r="I32" s="101"/>
      <c r="J32" s="101"/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0.47499999999999998</v>
      </c>
      <c r="E33" s="57">
        <f t="shared" ref="E33:E39" si="9">F33+G33</f>
        <v>0</v>
      </c>
      <c r="F33" s="62"/>
      <c r="G33" s="63"/>
      <c r="H33" s="41">
        <f t="shared" si="1"/>
        <v>0.38700000000000001</v>
      </c>
      <c r="I33" s="62">
        <f>105/1000+26/1000+78/1000+37.5/1000+72/1000+62.5/1000+6/1000</f>
        <v>0.38700000000000001</v>
      </c>
      <c r="J33" s="62"/>
      <c r="K33" s="41">
        <f t="shared" si="2"/>
        <v>8.7999999999999995E-2</v>
      </c>
      <c r="L33" s="62">
        <f>26/1000+62/1000</f>
        <v>8.7999999999999995E-2</v>
      </c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274.46999999999997</v>
      </c>
      <c r="E34" s="57">
        <f t="shared" si="9"/>
        <v>0</v>
      </c>
      <c r="F34" s="62"/>
      <c r="G34" s="63"/>
      <c r="H34" s="41">
        <f t="shared" si="1"/>
        <v>230.30599999999998</v>
      </c>
      <c r="I34" s="62">
        <f>73.429+11.986+50.994+20.94+33.416+36.042+3.499</f>
        <v>230.30599999999998</v>
      </c>
      <c r="J34" s="62"/>
      <c r="K34" s="41">
        <f t="shared" si="2"/>
        <v>44.164000000000001</v>
      </c>
      <c r="L34" s="62">
        <f>14.993+29.171</f>
        <v>44.164000000000001</v>
      </c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8.4000000000000005E-2</v>
      </c>
      <c r="E35" s="57">
        <f t="shared" si="9"/>
        <v>0</v>
      </c>
      <c r="F35" s="62"/>
      <c r="G35" s="63"/>
      <c r="H35" s="41">
        <f t="shared" si="1"/>
        <v>8.4000000000000005E-2</v>
      </c>
      <c r="I35" s="62">
        <v>8.4000000000000005E-2</v>
      </c>
      <c r="J35" s="62">
        <v>0</v>
      </c>
      <c r="K35" s="41">
        <f t="shared" si="2"/>
        <v>0</v>
      </c>
      <c r="L35" s="62"/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39.838999999999999</v>
      </c>
      <c r="E36" s="57">
        <f t="shared" si="9"/>
        <v>0</v>
      </c>
      <c r="F36" s="62"/>
      <c r="G36" s="63"/>
      <c r="H36" s="41">
        <f t="shared" si="1"/>
        <v>39.838999999999999</v>
      </c>
      <c r="I36" s="62">
        <v>39.838999999999999</v>
      </c>
      <c r="J36" s="62">
        <v>0</v>
      </c>
      <c r="K36" s="41">
        <f t="shared" si="2"/>
        <v>0</v>
      </c>
      <c r="L36" s="62"/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0</v>
      </c>
      <c r="E37" s="57">
        <f t="shared" si="9"/>
        <v>0</v>
      </c>
      <c r="F37" s="62"/>
      <c r="G37" s="63"/>
      <c r="H37" s="41">
        <f t="shared" si="1"/>
        <v>0</v>
      </c>
      <c r="I37" s="62"/>
      <c r="J37" s="62"/>
      <c r="K37" s="41">
        <f t="shared" si="2"/>
        <v>0</v>
      </c>
      <c r="L37" s="62"/>
      <c r="M37" s="62"/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0</v>
      </c>
      <c r="E38" s="57">
        <f t="shared" si="9"/>
        <v>0</v>
      </c>
      <c r="F38" s="62"/>
      <c r="G38" s="63"/>
      <c r="H38" s="41">
        <f t="shared" si="1"/>
        <v>0</v>
      </c>
      <c r="I38" s="62"/>
      <c r="J38" s="62"/>
      <c r="K38" s="41">
        <f t="shared" si="2"/>
        <v>0</v>
      </c>
      <c r="L38" s="62"/>
      <c r="M38" s="62"/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0</v>
      </c>
      <c r="E39" s="72">
        <f t="shared" si="9"/>
        <v>0</v>
      </c>
      <c r="F39" s="73"/>
      <c r="G39" s="74"/>
      <c r="H39" s="41">
        <f t="shared" si="1"/>
        <v>0</v>
      </c>
      <c r="I39" s="62"/>
      <c r="J39" s="62"/>
      <c r="K39" s="41">
        <f t="shared" si="2"/>
        <v>0</v>
      </c>
      <c r="L39" s="62"/>
      <c r="M39" s="62"/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</v>
      </c>
      <c r="E40" s="123"/>
      <c r="F40" s="133"/>
      <c r="G40" s="134"/>
      <c r="H40" s="41">
        <f t="shared" si="1"/>
        <v>0</v>
      </c>
      <c r="I40" s="62"/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0</v>
      </c>
      <c r="E41" s="121"/>
      <c r="F41" s="141"/>
      <c r="G41" s="142"/>
      <c r="H41" s="41">
        <f t="shared" si="1"/>
        <v>0</v>
      </c>
      <c r="I41" s="62"/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5.2500000000000003E-3</v>
      </c>
      <c r="E42" s="123"/>
      <c r="F42" s="133"/>
      <c r="G42" s="134"/>
      <c r="H42" s="41">
        <f t="shared" si="1"/>
        <v>5.2500000000000003E-3</v>
      </c>
      <c r="I42" s="62">
        <f>0.25*7/1000+0.25*7/1000+0.25*7/1000</f>
        <v>5.2500000000000003E-3</v>
      </c>
      <c r="J42" s="62"/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6.4089999999999998</v>
      </c>
      <c r="E43" s="121"/>
      <c r="F43" s="141"/>
      <c r="G43" s="142"/>
      <c r="H43" s="41">
        <f t="shared" si="1"/>
        <v>6.4089999999999998</v>
      </c>
      <c r="I43" s="62">
        <f>1.625+3.21+1.574</f>
        <v>6.4089999999999998</v>
      </c>
      <c r="J43" s="62"/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19</v>
      </c>
      <c r="E44" s="57">
        <f t="shared" ref="E44:E59" si="11">F44+G44</f>
        <v>0</v>
      </c>
      <c r="F44" s="62"/>
      <c r="G44" s="63"/>
      <c r="H44" s="41">
        <f t="shared" si="1"/>
        <v>19</v>
      </c>
      <c r="I44" s="62">
        <f>1+1+1+1+2+4+4+1+1+1+1+1</f>
        <v>19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17.668000000000006</v>
      </c>
      <c r="E45" s="57">
        <f t="shared" si="11"/>
        <v>0</v>
      </c>
      <c r="F45" s="62"/>
      <c r="G45" s="63"/>
      <c r="H45" s="41">
        <f t="shared" si="1"/>
        <v>17.668000000000006</v>
      </c>
      <c r="I45" s="62">
        <f>0.477+2.832+1.473+1.405+3.712+4.519+1.082+0.542+0.542+0.542+0.542</f>
        <v>17.668000000000006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/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/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0</v>
      </c>
      <c r="E48" s="57">
        <f t="shared" si="11"/>
        <v>0</v>
      </c>
      <c r="F48" s="62"/>
      <c r="G48" s="63"/>
      <c r="H48" s="41">
        <f t="shared" si="1"/>
        <v>0</v>
      </c>
      <c r="I48" s="62"/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0</v>
      </c>
      <c r="E49" s="57">
        <f t="shared" si="11"/>
        <v>0</v>
      </c>
      <c r="F49" s="62"/>
      <c r="G49" s="63"/>
      <c r="H49" s="41">
        <f t="shared" si="1"/>
        <v>0</v>
      </c>
      <c r="I49" s="62"/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18</v>
      </c>
      <c r="E50" s="57">
        <f t="shared" si="11"/>
        <v>0</v>
      </c>
      <c r="F50" s="62"/>
      <c r="G50" s="63"/>
      <c r="H50" s="41">
        <f t="shared" si="1"/>
        <v>15</v>
      </c>
      <c r="I50" s="62">
        <f>12+1+1+1</f>
        <v>15</v>
      </c>
      <c r="J50" s="62"/>
      <c r="K50" s="41">
        <f t="shared" si="2"/>
        <v>3</v>
      </c>
      <c r="L50" s="62">
        <v>3</v>
      </c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62.003</v>
      </c>
      <c r="E51" s="57">
        <f t="shared" si="11"/>
        <v>0</v>
      </c>
      <c r="F51" s="62"/>
      <c r="G51" s="63"/>
      <c r="H51" s="41">
        <f t="shared" si="1"/>
        <v>58.528999999999996</v>
      </c>
      <c r="I51" s="62">
        <f>44.802+7.683+3.022+3.022</f>
        <v>58.528999999999996</v>
      </c>
      <c r="J51" s="62"/>
      <c r="K51" s="41">
        <f t="shared" si="2"/>
        <v>3.4740000000000002</v>
      </c>
      <c r="L51" s="62">
        <f>3.474</f>
        <v>3.4740000000000002</v>
      </c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5</v>
      </c>
      <c r="E52" s="57">
        <f t="shared" si="11"/>
        <v>0</v>
      </c>
      <c r="F52" s="62"/>
      <c r="G52" s="63"/>
      <c r="H52" s="41">
        <f t="shared" si="1"/>
        <v>5</v>
      </c>
      <c r="I52" s="62">
        <f>2+1+1+1</f>
        <v>5</v>
      </c>
      <c r="J52" s="62"/>
      <c r="K52" s="41">
        <f t="shared" si="2"/>
        <v>0</v>
      </c>
      <c r="L52" s="62"/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63.933</v>
      </c>
      <c r="E53" s="57">
        <f t="shared" si="11"/>
        <v>0</v>
      </c>
      <c r="F53" s="62"/>
      <c r="G53" s="63"/>
      <c r="H53" s="41">
        <f t="shared" si="1"/>
        <v>63.933</v>
      </c>
      <c r="I53" s="62">
        <f>25.138+13.057+12.681+13.057</f>
        <v>63.933</v>
      </c>
      <c r="J53" s="62"/>
      <c r="K53" s="41">
        <f t="shared" si="2"/>
        <v>0</v>
      </c>
      <c r="L53" s="62"/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1</v>
      </c>
      <c r="E54" s="57">
        <f t="shared" si="11"/>
        <v>0</v>
      </c>
      <c r="F54" s="62"/>
      <c r="G54" s="63"/>
      <c r="H54" s="41">
        <f t="shared" si="1"/>
        <v>1</v>
      </c>
      <c r="I54" s="62">
        <v>1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1.022</v>
      </c>
      <c r="E55" s="57">
        <f t="shared" si="11"/>
        <v>0</v>
      </c>
      <c r="F55" s="62"/>
      <c r="G55" s="63"/>
      <c r="H55" s="41">
        <f t="shared" si="1"/>
        <v>1.022</v>
      </c>
      <c r="I55" s="62">
        <v>1.022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2.4680000000000001E-3</v>
      </c>
      <c r="E56" s="57">
        <f t="shared" si="11"/>
        <v>0</v>
      </c>
      <c r="F56" s="62"/>
      <c r="G56" s="63"/>
      <c r="H56" s="41">
        <f t="shared" si="1"/>
        <v>0</v>
      </c>
      <c r="I56" s="62"/>
      <c r="J56" s="62"/>
      <c r="K56" s="41">
        <v>2.4680000000000001E-3</v>
      </c>
      <c r="L56" s="62"/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8.8409999999999993</v>
      </c>
      <c r="E57" s="57">
        <f t="shared" si="11"/>
        <v>0</v>
      </c>
      <c r="F57" s="62"/>
      <c r="G57" s="63"/>
      <c r="H57" s="41">
        <f t="shared" si="1"/>
        <v>0</v>
      </c>
      <c r="I57" s="62"/>
      <c r="J57" s="62"/>
      <c r="K57" s="41">
        <v>8.8409999999999993</v>
      </c>
      <c r="L57" s="62"/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1</v>
      </c>
      <c r="E58" s="57">
        <f t="shared" si="11"/>
        <v>0</v>
      </c>
      <c r="F58" s="62"/>
      <c r="G58" s="63"/>
      <c r="H58" s="41">
        <f t="shared" si="1"/>
        <v>1</v>
      </c>
      <c r="I58" s="62">
        <v>1</v>
      </c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0.23100000000000001</v>
      </c>
      <c r="E59" s="72">
        <f t="shared" si="11"/>
        <v>0</v>
      </c>
      <c r="F59" s="73"/>
      <c r="G59" s="74"/>
      <c r="H59" s="41">
        <f t="shared" si="1"/>
        <v>0.23100000000000001</v>
      </c>
      <c r="I59" s="62">
        <v>0.23100000000000001</v>
      </c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2</v>
      </c>
      <c r="E66" s="158"/>
      <c r="F66" s="159"/>
      <c r="G66" s="160"/>
      <c r="H66" s="41">
        <f t="shared" si="1"/>
        <v>2</v>
      </c>
      <c r="I66" s="62">
        <f>1+1</f>
        <v>2</v>
      </c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2.2939999999999996</v>
      </c>
      <c r="E67" s="166"/>
      <c r="F67" s="167"/>
      <c r="G67" s="168"/>
      <c r="H67" s="41">
        <f t="shared" si="1"/>
        <v>2.2939999999999996</v>
      </c>
      <c r="I67" s="62">
        <f>1.287+1.007</f>
        <v>2.2939999999999996</v>
      </c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0</v>
      </c>
      <c r="E70" s="158"/>
      <c r="F70" s="159"/>
      <c r="G70" s="160"/>
      <c r="H70" s="41">
        <f t="shared" si="1"/>
        <v>0</v>
      </c>
      <c r="I70" s="62"/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0</v>
      </c>
      <c r="E71" s="166"/>
      <c r="F71" s="167"/>
      <c r="G71" s="168"/>
      <c r="H71" s="41">
        <f t="shared" si="1"/>
        <v>0</v>
      </c>
      <c r="I71" s="62"/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398.60299999999995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377.77</v>
      </c>
      <c r="I72" s="178">
        <f>I74+I84+I86</f>
        <v>377.77</v>
      </c>
      <c r="J72" s="178">
        <f>J74+J84+J86</f>
        <v>0</v>
      </c>
      <c r="K72" s="41">
        <f t="shared" si="2"/>
        <v>20.832999999999998</v>
      </c>
      <c r="L72" s="179">
        <f t="shared" si="13"/>
        <v>20.832999999999998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0.28225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0.26424999999999998</v>
      </c>
      <c r="I73" s="18">
        <f t="shared" si="14"/>
        <v>0.26424999999999998</v>
      </c>
      <c r="J73" s="18">
        <f t="shared" si="14"/>
        <v>0</v>
      </c>
      <c r="K73" s="49">
        <f t="shared" si="2"/>
        <v>1.8000000000000002E-2</v>
      </c>
      <c r="L73" s="18">
        <f t="shared" si="14"/>
        <v>1.8000000000000002E-2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345.48499999999996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329.43599999999998</v>
      </c>
      <c r="I74" s="18">
        <f>I76+I78+I80+I82</f>
        <v>329.43599999999998</v>
      </c>
      <c r="J74" s="18">
        <f>J76+J78+J80+J82</f>
        <v>0</v>
      </c>
      <c r="K74" s="49">
        <f t="shared" si="2"/>
        <v>16.048999999999999</v>
      </c>
      <c r="L74" s="18">
        <f>L76+L78+L80+L82</f>
        <v>16.048999999999999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6.2000000000000006E-2</v>
      </c>
      <c r="E75" s="57">
        <f t="shared" ref="E75:E86" si="16">F75+G75</f>
        <v>0</v>
      </c>
      <c r="F75" s="62"/>
      <c r="G75" s="62"/>
      <c r="H75" s="48">
        <f t="shared" si="1"/>
        <v>6.2000000000000006E-2</v>
      </c>
      <c r="I75" s="20">
        <f>0+18/1000+0+17/1000+10/1000+12/1000+5/1000</f>
        <v>6.2000000000000006E-2</v>
      </c>
      <c r="J75" s="20"/>
      <c r="K75" s="49">
        <f t="shared" si="2"/>
        <v>0</v>
      </c>
      <c r="L75" s="20"/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35.556999999999995</v>
      </c>
      <c r="E76" s="57">
        <f t="shared" si="16"/>
        <v>0</v>
      </c>
      <c r="F76" s="62"/>
      <c r="G76" s="62"/>
      <c r="H76" s="48">
        <f t="shared" si="1"/>
        <v>35.556999999999995</v>
      </c>
      <c r="I76" s="20">
        <f>1.031+15.898+0.857+14.323+3.448</f>
        <v>35.556999999999995</v>
      </c>
      <c r="J76" s="20"/>
      <c r="K76" s="49">
        <f t="shared" si="2"/>
        <v>0</v>
      </c>
      <c r="L76" s="20"/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7.9500000000000001E-2</v>
      </c>
      <c r="E77" s="57">
        <f t="shared" si="16"/>
        <v>0</v>
      </c>
      <c r="F77" s="62"/>
      <c r="G77" s="62"/>
      <c r="H77" s="48">
        <f t="shared" si="1"/>
        <v>6.5500000000000003E-2</v>
      </c>
      <c r="I77" s="20">
        <f>0+0+20/1000+8/1000+0+0+0+2.5/1000+2/1000+2.6/1000+0+2/1000+2/1000+8/1000+3/1000+6/1000+3/1000+1/1000+3/1000+2.4/1000</f>
        <v>6.5500000000000003E-2</v>
      </c>
      <c r="J77" s="20"/>
      <c r="K77" s="49">
        <f t="shared" si="2"/>
        <v>1.4E-2</v>
      </c>
      <c r="L77" s="20">
        <f>2/1000+5/1000+7/1000</f>
        <v>1.4E-2</v>
      </c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68.119</v>
      </c>
      <c r="E78" s="57">
        <f t="shared" si="16"/>
        <v>0</v>
      </c>
      <c r="F78" s="62"/>
      <c r="G78" s="62"/>
      <c r="H78" s="48">
        <f t="shared" ref="H78:H97" si="23">I78+J78</f>
        <v>54.384999999999998</v>
      </c>
      <c r="I78" s="20">
        <f>2.393+3.551+11.828+4.569+0.215+0.215+0.215+1.785+1.916+1.328+0.215+1.674+8.1+3.016+3.935+2.162+0.892+4.287+2.089</f>
        <v>54.384999999999998</v>
      </c>
      <c r="J78" s="20"/>
      <c r="K78" s="49">
        <f t="shared" ref="K78:K97" si="24">L78+M78</f>
        <v>13.734</v>
      </c>
      <c r="L78" s="185">
        <f>3.159+3.6+6.975</f>
        <v>13.734</v>
      </c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5.7100000000000005E-2</v>
      </c>
      <c r="E79" s="57">
        <f t="shared" si="16"/>
        <v>0</v>
      </c>
      <c r="F79" s="62"/>
      <c r="G79" s="62"/>
      <c r="H79" s="48">
        <f t="shared" si="23"/>
        <v>5.7100000000000005E-2</v>
      </c>
      <c r="I79" s="20">
        <f>0+8/1000+2/1000+0+0+4/1000+0+0+12/1000+12/1000+8/1000+0.5/1000+9.6/1000+1/1000</f>
        <v>5.7100000000000005E-2</v>
      </c>
      <c r="J79" s="20"/>
      <c r="K79" s="49">
        <f t="shared" si="24"/>
        <v>0</v>
      </c>
      <c r="L79" s="20"/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51.927</v>
      </c>
      <c r="E80" s="57">
        <f t="shared" si="16"/>
        <v>0</v>
      </c>
      <c r="F80" s="62"/>
      <c r="G80" s="62"/>
      <c r="H80" s="48">
        <f t="shared" si="23"/>
        <v>51.927</v>
      </c>
      <c r="I80" s="20">
        <f>0.535+6.709+4.349+1.398+0.213+2.824+0.643+0.948+11.463+8.456+6.142+1.041+7.206</f>
        <v>51.927</v>
      </c>
      <c r="J80" s="20"/>
      <c r="K80" s="49">
        <f t="shared" si="24"/>
        <v>0</v>
      </c>
      <c r="L80" s="20"/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8.3650000000000002E-2</v>
      </c>
      <c r="E81" s="57">
        <f t="shared" si="16"/>
        <v>0</v>
      </c>
      <c r="F81" s="62"/>
      <c r="G81" s="62"/>
      <c r="H81" s="48">
        <f t="shared" si="23"/>
        <v>7.9649999999999999E-2</v>
      </c>
      <c r="I81" s="20">
        <f>0.65/1000+3/1000+3/1000+6/1000+19/1000+8/1000+0.5/1000+12/1000+12/1000+1/1000+11/1000+2/1000+1.5/1000</f>
        <v>7.9649999999999999E-2</v>
      </c>
      <c r="J81" s="20"/>
      <c r="K81" s="49">
        <f t="shared" si="24"/>
        <v>4.0000000000000001E-3</v>
      </c>
      <c r="L81" s="20">
        <f>4/1000</f>
        <v>4.0000000000000001E-3</v>
      </c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189.88199999999998</v>
      </c>
      <c r="E82" s="57">
        <f t="shared" si="16"/>
        <v>0</v>
      </c>
      <c r="F82" s="62"/>
      <c r="G82" s="62"/>
      <c r="H82" s="48">
        <f t="shared" si="23"/>
        <v>187.56699999999998</v>
      </c>
      <c r="I82" s="20">
        <f>0.389+1.602+2.031+3.206+10.15+49.313+1.411+31.921+31.921+0.732+50.374+3.418+1.099</f>
        <v>187.56699999999998</v>
      </c>
      <c r="J82" s="20"/>
      <c r="K82" s="49">
        <f t="shared" si="24"/>
        <v>2.3149999999999999</v>
      </c>
      <c r="L82" s="20">
        <f>2.315</f>
        <v>2.3149999999999999</v>
      </c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5</v>
      </c>
      <c r="E83" s="57">
        <f t="shared" si="16"/>
        <v>0</v>
      </c>
      <c r="F83" s="62"/>
      <c r="G83" s="62"/>
      <c r="H83" s="48">
        <f t="shared" si="23"/>
        <v>4</v>
      </c>
      <c r="I83" s="20">
        <f>1+1+1+1</f>
        <v>4</v>
      </c>
      <c r="J83" s="20"/>
      <c r="K83" s="49">
        <f t="shared" si="24"/>
        <v>1</v>
      </c>
      <c r="L83" s="20">
        <f>1</f>
        <v>1</v>
      </c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26.640999999999998</v>
      </c>
      <c r="E84" s="57">
        <f t="shared" si="16"/>
        <v>0</v>
      </c>
      <c r="F84" s="62"/>
      <c r="G84" s="62"/>
      <c r="H84" s="48">
        <f t="shared" si="23"/>
        <v>21.856999999999999</v>
      </c>
      <c r="I84" s="20">
        <f>6.437+5.013+5.394+5.013</f>
        <v>21.856999999999999</v>
      </c>
      <c r="J84" s="20"/>
      <c r="K84" s="49">
        <f t="shared" si="24"/>
        <v>4.7839999999999998</v>
      </c>
      <c r="L84" s="20">
        <f>4.784</f>
        <v>4.7839999999999998</v>
      </c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38</v>
      </c>
      <c r="E85" s="57">
        <f t="shared" si="16"/>
        <v>0</v>
      </c>
      <c r="F85" s="62"/>
      <c r="G85" s="62"/>
      <c r="H85" s="48">
        <f t="shared" si="23"/>
        <v>38</v>
      </c>
      <c r="I85" s="20">
        <f>11+1+1+5+2+2+1+1+1+1+1+1+1+1+8</f>
        <v>38</v>
      </c>
      <c r="J85" s="20"/>
      <c r="K85" s="49">
        <f t="shared" si="24"/>
        <v>0</v>
      </c>
      <c r="L85" s="20"/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26.477000000000004</v>
      </c>
      <c r="E86" s="57">
        <f t="shared" si="16"/>
        <v>0</v>
      </c>
      <c r="F86" s="62"/>
      <c r="G86" s="62"/>
      <c r="H86" s="48">
        <f t="shared" si="23"/>
        <v>26.477000000000004</v>
      </c>
      <c r="I86" s="20">
        <f>7.94+0.786+0.661+2.9+1.416+1.416+0.708+0.708+0.621+0.617+2.491+0.786+0.786+4.641</f>
        <v>26.477000000000004</v>
      </c>
      <c r="J86" s="20"/>
      <c r="K86" s="49">
        <f t="shared" si="24"/>
        <v>0</v>
      </c>
      <c r="L86" s="20"/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935.35200000000009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907.51700000000005</v>
      </c>
      <c r="I87" s="195">
        <f t="shared" si="25"/>
        <v>907.51700000000005</v>
      </c>
      <c r="J87" s="195">
        <f t="shared" si="25"/>
        <v>0</v>
      </c>
      <c r="K87" s="41">
        <f t="shared" si="24"/>
        <v>27.835000000000001</v>
      </c>
      <c r="L87" s="195">
        <f t="shared" si="25"/>
        <v>27.835000000000001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0.68500000000000005</v>
      </c>
      <c r="E88" s="57">
        <f>F88+G88</f>
        <v>0</v>
      </c>
      <c r="F88" s="62"/>
      <c r="G88" s="62"/>
      <c r="H88" s="41">
        <f t="shared" si="23"/>
        <v>0.66500000000000004</v>
      </c>
      <c r="I88" s="196">
        <f>10/1000+20/1000+15/1000+10/1000+140/1000+31/1000+31/1000+31/1000+90/1000+17/1000+160/1000+110/1000</f>
        <v>0.66500000000000004</v>
      </c>
      <c r="J88" s="197"/>
      <c r="K88" s="41">
        <f t="shared" si="24"/>
        <v>0.02</v>
      </c>
      <c r="L88" s="62">
        <f>20/1000</f>
        <v>0.02</v>
      </c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164.709</v>
      </c>
      <c r="E89" s="57">
        <f>F89+G89</f>
        <v>0</v>
      </c>
      <c r="F89" s="62"/>
      <c r="G89" s="62"/>
      <c r="H89" s="41">
        <f t="shared" si="23"/>
        <v>162.60300000000001</v>
      </c>
      <c r="I89" s="196">
        <f>1.054+3.528+2.873+1.054+28.873+3.422+3.422+3.422+32.21+3.912+25.326+53.507</f>
        <v>162.60300000000001</v>
      </c>
      <c r="J89" s="197"/>
      <c r="K89" s="41">
        <f t="shared" si="24"/>
        <v>2.1059999999999999</v>
      </c>
      <c r="L89" s="62">
        <f>2.106</f>
        <v>2.1059999999999999</v>
      </c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636</v>
      </c>
      <c r="E90" s="57">
        <v>0</v>
      </c>
      <c r="F90" s="62"/>
      <c r="G90" s="62"/>
      <c r="H90" s="41">
        <f>I90+J91</f>
        <v>630</v>
      </c>
      <c r="I90" s="196">
        <f>3+21+1+12+14+13+7+3+12+18+1+1+16+1+5+9+4+1+1+1+5+35+69+92+2+5+6+14+1+42+3+2+2+6+12+2+36+2+21+5+13+5+30+1+2+2+2+1+22+15+(1+5+2)+4+7+4+8</f>
        <v>630</v>
      </c>
      <c r="K90" s="41">
        <f t="shared" si="24"/>
        <v>6</v>
      </c>
      <c r="L90" s="62">
        <f>6</f>
        <v>6</v>
      </c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652.53800000000001</v>
      </c>
      <c r="E91" s="57">
        <f>F91+G91</f>
        <v>0</v>
      </c>
      <c r="F91" s="62"/>
      <c r="G91" s="62"/>
      <c r="H91" s="41">
        <f t="shared" ref="H91:H93" si="31">I91+J92</f>
        <v>632.51900000000001</v>
      </c>
      <c r="I91" s="196">
        <f>29.075+7.702+10.769+8.239+9.86+6.545+11.411+0.582+0.715+9.592+1.15+5.771+16.92+0.103+0.581+0.581+2.9+292.035+1.284+6.017+3.488+11.461+0.582+25.673+1.739+1.75+1.222+3.48+7.338+1.16+39.889+1.16+12.18+3.948+7.54+2.902+24.965+0.581+1.784+1.16+1.165+0.582+13.817+6.412+5.488+2.908+6.412+19.901</f>
        <v>632.51900000000001</v>
      </c>
      <c r="J91" s="197"/>
      <c r="K91" s="41">
        <f t="shared" si="24"/>
        <v>20.018999999999998</v>
      </c>
      <c r="L91" s="62">
        <f>20.019</f>
        <v>20.018999999999998</v>
      </c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40</v>
      </c>
      <c r="E92" s="57">
        <f>F92+G92</f>
        <v>0</v>
      </c>
      <c r="F92" s="62"/>
      <c r="G92" s="62"/>
      <c r="H92" s="41">
        <f t="shared" si="31"/>
        <v>37</v>
      </c>
      <c r="I92" s="196">
        <f>1+3+3+3+3+3+2+3+2+4+2+1+1+3+1+1+1</f>
        <v>37</v>
      </c>
      <c r="J92" s="197"/>
      <c r="K92" s="41">
        <f t="shared" si="24"/>
        <v>3</v>
      </c>
      <c r="L92" s="62">
        <f>3</f>
        <v>3</v>
      </c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118.10499999999998</v>
      </c>
      <c r="E93" s="57">
        <f>F93+G93</f>
        <v>0</v>
      </c>
      <c r="F93" s="62"/>
      <c r="G93" s="62"/>
      <c r="H93" s="41">
        <f t="shared" si="31"/>
        <v>112.39499999999998</v>
      </c>
      <c r="I93" s="196">
        <f>1.903+9.583+13.532+17.482+4.305+6.805+2.815+4.223+2.815+5.631+2.815+2.681+1.408+4.223+1.716+15.229+15.229</f>
        <v>112.39499999999998</v>
      </c>
      <c r="J93" s="197"/>
      <c r="K93" s="41">
        <f t="shared" si="24"/>
        <v>5.71</v>
      </c>
      <c r="L93" s="62">
        <f>5.71</f>
        <v>5.71</v>
      </c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0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0</v>
      </c>
      <c r="I94" s="205">
        <f t="shared" si="32"/>
        <v>0</v>
      </c>
      <c r="J94" s="205">
        <f t="shared" si="32"/>
        <v>0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0</v>
      </c>
      <c r="E95" s="57">
        <f>F95+G95</f>
        <v>0</v>
      </c>
      <c r="F95" s="62"/>
      <c r="G95" s="62"/>
      <c r="H95" s="41">
        <f t="shared" si="23"/>
        <v>0</v>
      </c>
      <c r="I95" s="62"/>
      <c r="J95" s="62"/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107.879</v>
      </c>
      <c r="E97" s="211">
        <f>F97+G97</f>
        <v>0</v>
      </c>
      <c r="F97" s="212"/>
      <c r="G97" s="212"/>
      <c r="H97" s="41">
        <f t="shared" si="23"/>
        <v>96.471000000000004</v>
      </c>
      <c r="I97" s="212">
        <f>2.197+7.535+3.592+3.319+2.033+2.846+10.693+3.722+5.227+5.227+50.08</f>
        <v>96.471000000000004</v>
      </c>
      <c r="J97" s="212"/>
      <c r="K97" s="41">
        <f t="shared" si="24"/>
        <v>11.407999999999999</v>
      </c>
      <c r="L97" s="212">
        <f>8.205+3.203</f>
        <v>11.407999999999999</v>
      </c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1926.7919999999999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1816.403</v>
      </c>
      <c r="I98" s="144">
        <f>I97+I94+I87+I72+I13</f>
        <v>1816.403</v>
      </c>
      <c r="J98" s="144">
        <f>J97+J94+J87+J72+J13</f>
        <v>0</v>
      </c>
      <c r="K98" s="41">
        <f>L98+M98</f>
        <v>110.38900000000001</v>
      </c>
      <c r="L98" s="218">
        <f t="shared" si="33"/>
        <v>110.38900000000001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78721.934999999998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58.528999999999996</v>
      </c>
      <c r="E100" s="27"/>
      <c r="F100" s="27"/>
      <c r="G100" s="27"/>
      <c r="H100" s="27"/>
      <c r="I100" s="27">
        <f>H97-I97</f>
        <v>0</v>
      </c>
      <c r="J100" s="27">
        <f>I97+E99</f>
        <v>78818.406000000003</v>
      </c>
      <c r="K100" s="27"/>
      <c r="L100" s="27"/>
      <c r="M100" s="27">
        <f>9567.184-K98</f>
        <v>9456.7950000000001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>
        <f>I143+I149+I153</f>
        <v>2224</v>
      </c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>
        <f>I144+I150+I154</f>
        <v>27.432679999999994</v>
      </c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>
        <f>6</f>
        <v>6</v>
      </c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>
        <f>6*435.09/1000</f>
        <v>2.6105399999999999</v>
      </c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/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/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>
        <f>2+4+20+20+14+20+20+44+20+20+50+50+2+50+50+30+30+40+50+50+50+4+50+9+2+10+10+10+10+30+60+10+10+10+50+40+50+50+2+50+50+50+30+10+30+30+30+30+20+30+30+20+30+20+30+30+30+30+20+20+30+30+30+30+30+40+30+40+30+30+30+40+30+40+30+40+4+3</f>
        <v>2210</v>
      </c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>
        <f>(2*146.32+4*146.32+20*11+20*11+14*77.84+20*11+20*11+11*11+20*11+20*62.22+50*8.71+50*8.71+2+62.54+50*8.71+50*8.71+30*8.71+30*8.71+40*8.71+50*8.71+50*8.71+50*8.71+4*62.54+50*8.71+9*62.54+2*62.54+10*8.71+10*8.71+10*8.71+10*8.71+30*8.71+60*8.71+10*8.71+10*8.71+10*8.71+50*8.71+40*8.71+50*8.71+50*8.71+2*62.54+50*8.71+50*8.71+50*8.71+30*8.71+10*8.71+30*8.71+30*8.71+30*8.71+30*8.71+20*8.71+30*8.71+30*8.71+20*8.71+30*8.71+20*8.71+30*8.71+30*8.71+30*8.71+30*8.71+20*8.71+20*8.71+30*8.71+30*11+30*11+30*11+30*11+40*11+30*11+40*11+30*11+30*11+30*11+40*11+30*11+40*11+30*11+40*11+4*66.88+3*118)/1000</f>
        <v>24.747319999999995</v>
      </c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>
        <f>8</f>
        <v>8</v>
      </c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>
        <f>(4*12.47+2*12.47)/1000</f>
        <v>7.4820000000000011E-2</v>
      </c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286</v>
      </c>
      <c r="B157" s="5"/>
      <c r="C157" s="5"/>
      <c r="D157" s="5"/>
      <c r="E157" s="5"/>
    </row>
    <row r="158" spans="1:24" s="6" customFormat="1">
      <c r="A158" s="1748" t="s">
        <v>287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 t="s">
        <v>213</v>
      </c>
      <c r="B160" s="5"/>
      <c r="C160" s="5"/>
      <c r="D160" s="5"/>
      <c r="E160" s="5"/>
    </row>
    <row r="163" ht="6" customHeight="1"/>
  </sheetData>
  <mergeCells count="22">
    <mergeCell ref="A14:A16"/>
    <mergeCell ref="A101:T101"/>
    <mergeCell ref="A158:D15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63"/>
  <sheetViews>
    <sheetView topLeftCell="A52" zoomScale="80" zoomScaleNormal="80" workbookViewId="0">
      <selection activeCell="J51" sqref="J51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188</v>
      </c>
      <c r="U6" s="1755"/>
      <c r="V6" s="1755"/>
      <c r="W6" s="1755"/>
      <c r="X6" s="1755"/>
    </row>
    <row r="7" spans="1:27" ht="53.25" customHeight="1">
      <c r="A7" s="1754" t="s">
        <v>208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5" t="s">
        <v>190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30"/>
      <c r="P8" s="265"/>
      <c r="Q8" s="265"/>
      <c r="R8" s="265"/>
      <c r="S8" s="265"/>
      <c r="T8" s="265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904.35899999999992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904.35899999999992</v>
      </c>
      <c r="I13" s="41">
        <f>I16+I23+I34+I36+I39+I41+I43+I45+I47+I49+I51+I53+I55+I57+I59+I61+I63+I65+I67+I69+I71</f>
        <v>316.495</v>
      </c>
      <c r="J13" s="41">
        <f>J16+J23+J34+J36+J39+J41+J43+J45+J47+J49+J51+J53+J55+J57+J59+J61+J63+J65+J67+J69+J71</f>
        <v>587.86399999999992</v>
      </c>
      <c r="K13" s="41">
        <f>L13+M13</f>
        <v>0</v>
      </c>
      <c r="L13" s="41">
        <f>L16+L23+L34+L36+L39+L41+L43+L45+L47+L49+L51+L53+L55+L57+L59+L61+L63+L65+L67+L69+L71</f>
        <v>0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7</v>
      </c>
      <c r="E14" s="46"/>
      <c r="F14" s="46"/>
      <c r="G14" s="47"/>
      <c r="H14" s="48">
        <f t="shared" ref="H14:H77" si="1">I14+J14</f>
        <v>7</v>
      </c>
      <c r="I14" s="16">
        <v>7</v>
      </c>
      <c r="J14" s="16">
        <v>0</v>
      </c>
      <c r="K14" s="49">
        <f t="shared" ref="K14:K77" si="2">L14+M14</f>
        <v>0</v>
      </c>
      <c r="L14" s="16"/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2.0999999999999998E-2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2.0999999999999998E-2</v>
      </c>
      <c r="I15" s="18">
        <f>I17+I19</f>
        <v>2.0999999999999998E-2</v>
      </c>
      <c r="J15" s="18">
        <f>J17+J19</f>
        <v>0</v>
      </c>
      <c r="K15" s="49">
        <f t="shared" si="2"/>
        <v>0</v>
      </c>
      <c r="L15" s="18">
        <f>L17+L19</f>
        <v>0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47.751000000000005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47.751000000000005</v>
      </c>
      <c r="I16" s="18">
        <f>I18+I20+I21</f>
        <v>47.751000000000005</v>
      </c>
      <c r="J16" s="18">
        <f>J18+J20+J21</f>
        <v>0</v>
      </c>
      <c r="K16" s="49">
        <f t="shared" si="2"/>
        <v>0</v>
      </c>
      <c r="L16" s="18">
        <f>L18+L20+L21</f>
        <v>0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1.7899999999999999E-2</v>
      </c>
      <c r="E17" s="57">
        <f>F17+G17</f>
        <v>0</v>
      </c>
      <c r="F17" s="62"/>
      <c r="G17" s="63"/>
      <c r="H17" s="48">
        <f t="shared" si="1"/>
        <v>1.7899999999999999E-2</v>
      </c>
      <c r="I17" s="261">
        <v>1.7899999999999999E-2</v>
      </c>
      <c r="J17" s="20">
        <v>0</v>
      </c>
      <c r="K17" s="49">
        <f t="shared" si="2"/>
        <v>0</v>
      </c>
      <c r="L17" s="20"/>
      <c r="M17" s="20"/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46.943000000000005</v>
      </c>
      <c r="E18" s="57">
        <f>F18+G18</f>
        <v>0</v>
      </c>
      <c r="F18" s="62"/>
      <c r="G18" s="63"/>
      <c r="H18" s="48">
        <f t="shared" si="1"/>
        <v>46.943000000000005</v>
      </c>
      <c r="I18" s="20">
        <v>46.943000000000005</v>
      </c>
      <c r="J18" s="20">
        <v>0</v>
      </c>
      <c r="K18" s="49">
        <f t="shared" si="2"/>
        <v>0</v>
      </c>
      <c r="L18" s="20"/>
      <c r="M18" s="20"/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3.1000000000000003E-3</v>
      </c>
      <c r="E19" s="57">
        <f>F19+G19</f>
        <v>0</v>
      </c>
      <c r="F19" s="62"/>
      <c r="G19" s="63"/>
      <c r="H19" s="48">
        <f t="shared" si="1"/>
        <v>3.1000000000000003E-3</v>
      </c>
      <c r="I19" s="28">
        <v>3.1000000000000003E-3</v>
      </c>
      <c r="J19" s="20"/>
      <c r="K19" s="49">
        <f t="shared" si="2"/>
        <v>0</v>
      </c>
      <c r="L19" s="20"/>
      <c r="M19" s="20"/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0.80800000000000005</v>
      </c>
      <c r="E20" s="72">
        <f>F20+G20</f>
        <v>0</v>
      </c>
      <c r="F20" s="73"/>
      <c r="G20" s="74"/>
      <c r="H20" s="48">
        <f t="shared" si="1"/>
        <v>0.80800000000000005</v>
      </c>
      <c r="I20" s="20">
        <v>0.80800000000000005</v>
      </c>
      <c r="J20" s="20"/>
      <c r="K20" s="49">
        <f t="shared" si="2"/>
        <v>0</v>
      </c>
      <c r="L20" s="20"/>
      <c r="M20" s="20"/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0</v>
      </c>
      <c r="E22" s="85"/>
      <c r="F22" s="86"/>
      <c r="G22" s="87"/>
      <c r="H22" s="41">
        <f t="shared" si="1"/>
        <v>0</v>
      </c>
      <c r="I22" s="86"/>
      <c r="J22" s="86"/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0</v>
      </c>
      <c r="E23" s="94"/>
      <c r="F23" s="95"/>
      <c r="G23" s="96"/>
      <c r="H23" s="41">
        <f t="shared" si="1"/>
        <v>0</v>
      </c>
      <c r="I23" s="95">
        <f>I25+I27+I29+I31+I32</f>
        <v>0</v>
      </c>
      <c r="J23" s="95">
        <f>J25+J27+J29+J31+J32</f>
        <v>0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0</v>
      </c>
      <c r="E24" s="57"/>
      <c r="F24" s="62"/>
      <c r="G24" s="63"/>
      <c r="H24" s="41">
        <f t="shared" si="1"/>
        <v>0</v>
      </c>
      <c r="I24" s="101"/>
      <c r="J24" s="101"/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0</v>
      </c>
      <c r="E25" s="57"/>
      <c r="F25" s="62"/>
      <c r="G25" s="63"/>
      <c r="H25" s="41">
        <f t="shared" si="1"/>
        <v>0</v>
      </c>
      <c r="I25" s="101"/>
      <c r="J25" s="101"/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0</v>
      </c>
      <c r="E26" s="57"/>
      <c r="F26" s="62"/>
      <c r="G26" s="63"/>
      <c r="H26" s="41">
        <f t="shared" si="1"/>
        <v>0</v>
      </c>
      <c r="I26" s="101"/>
      <c r="J26" s="101"/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0</v>
      </c>
      <c r="E27" s="57"/>
      <c r="F27" s="62"/>
      <c r="G27" s="63"/>
      <c r="H27" s="41">
        <f t="shared" si="1"/>
        <v>0</v>
      </c>
      <c r="I27" s="101"/>
      <c r="J27" s="101"/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/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/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/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/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0</v>
      </c>
      <c r="E32" s="57"/>
      <c r="F32" s="62"/>
      <c r="G32" s="63"/>
      <c r="H32" s="41">
        <f t="shared" si="1"/>
        <v>0</v>
      </c>
      <c r="I32" s="101"/>
      <c r="J32" s="101"/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8.6E-3</v>
      </c>
      <c r="E33" s="57">
        <f t="shared" ref="E33:E39" si="9">F33+G33</f>
        <v>0</v>
      </c>
      <c r="F33" s="62"/>
      <c r="G33" s="63"/>
      <c r="H33" s="41">
        <f t="shared" si="1"/>
        <v>8.6E-3</v>
      </c>
      <c r="I33" s="62">
        <f>3.6/1000+5/1000</f>
        <v>8.6E-3</v>
      </c>
      <c r="J33" s="62"/>
      <c r="K33" s="41">
        <f t="shared" si="2"/>
        <v>0</v>
      </c>
      <c r="L33" s="62"/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15.427</v>
      </c>
      <c r="E34" s="57">
        <f t="shared" si="9"/>
        <v>0</v>
      </c>
      <c r="F34" s="62"/>
      <c r="G34" s="63"/>
      <c r="H34" s="41">
        <f t="shared" si="1"/>
        <v>15.427</v>
      </c>
      <c r="I34" s="62">
        <f>11.214+4.213</f>
        <v>15.427</v>
      </c>
      <c r="J34" s="62"/>
      <c r="K34" s="41">
        <f t="shared" si="2"/>
        <v>0</v>
      </c>
      <c r="L34" s="62"/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1.6E-2</v>
      </c>
      <c r="E35" s="57">
        <f t="shared" si="9"/>
        <v>0</v>
      </c>
      <c r="F35" s="62"/>
      <c r="G35" s="63"/>
      <c r="H35" s="41">
        <f t="shared" si="1"/>
        <v>1.6E-2</v>
      </c>
      <c r="I35" s="62">
        <v>1.6E-2</v>
      </c>
      <c r="J35" s="62"/>
      <c r="K35" s="41">
        <f t="shared" si="2"/>
        <v>0</v>
      </c>
      <c r="L35" s="62"/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2.3839999999999999</v>
      </c>
      <c r="E36" s="57">
        <f t="shared" si="9"/>
        <v>0</v>
      </c>
      <c r="F36" s="62"/>
      <c r="G36" s="63"/>
      <c r="H36" s="41">
        <f t="shared" si="1"/>
        <v>2.3839999999999999</v>
      </c>
      <c r="I36" s="62">
        <v>2.3839999999999999</v>
      </c>
      <c r="J36" s="62"/>
      <c r="K36" s="41">
        <f t="shared" si="2"/>
        <v>0</v>
      </c>
      <c r="L36" s="62"/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0.376</v>
      </c>
      <c r="E37" s="57">
        <f t="shared" si="9"/>
        <v>0</v>
      </c>
      <c r="F37" s="62"/>
      <c r="G37" s="63"/>
      <c r="H37" s="41">
        <f t="shared" si="1"/>
        <v>0.376</v>
      </c>
      <c r="I37" s="62">
        <v>0.376</v>
      </c>
      <c r="J37" s="62"/>
      <c r="K37" s="41">
        <f t="shared" si="2"/>
        <v>0</v>
      </c>
      <c r="L37" s="62"/>
      <c r="M37" s="62"/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1</v>
      </c>
      <c r="E38" s="57">
        <f t="shared" si="9"/>
        <v>0</v>
      </c>
      <c r="F38" s="62"/>
      <c r="G38" s="63"/>
      <c r="H38" s="41">
        <f t="shared" si="1"/>
        <v>1</v>
      </c>
      <c r="I38" s="62">
        <v>1</v>
      </c>
      <c r="J38" s="62"/>
      <c r="K38" s="41">
        <f t="shared" si="2"/>
        <v>0</v>
      </c>
      <c r="L38" s="62"/>
      <c r="M38" s="62"/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178</v>
      </c>
      <c r="E39" s="72">
        <f t="shared" si="9"/>
        <v>0</v>
      </c>
      <c r="F39" s="73"/>
      <c r="G39" s="74"/>
      <c r="H39" s="41">
        <f t="shared" si="1"/>
        <v>178</v>
      </c>
      <c r="I39" s="62">
        <v>178</v>
      </c>
      <c r="J39" s="62"/>
      <c r="K39" s="41">
        <f t="shared" si="2"/>
        <v>0</v>
      </c>
      <c r="L39" s="62"/>
      <c r="M39" s="62"/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</v>
      </c>
      <c r="E40" s="123"/>
      <c r="F40" s="133"/>
      <c r="G40" s="134"/>
      <c r="H40" s="41">
        <f t="shared" si="1"/>
        <v>0</v>
      </c>
      <c r="I40" s="62"/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0</v>
      </c>
      <c r="E41" s="121"/>
      <c r="F41" s="141"/>
      <c r="G41" s="142"/>
      <c r="H41" s="41">
        <f t="shared" si="1"/>
        <v>0</v>
      </c>
      <c r="I41" s="62"/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7.4999999999999997E-2</v>
      </c>
      <c r="E42" s="123"/>
      <c r="F42" s="133"/>
      <c r="G42" s="134"/>
      <c r="H42" s="41">
        <f t="shared" si="1"/>
        <v>7.4999999999999997E-2</v>
      </c>
      <c r="I42" s="62">
        <f>75/1000</f>
        <v>7.4999999999999997E-2</v>
      </c>
      <c r="J42" s="62"/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53.704000000000001</v>
      </c>
      <c r="E43" s="121"/>
      <c r="F43" s="141"/>
      <c r="G43" s="142"/>
      <c r="H43" s="41">
        <f t="shared" si="1"/>
        <v>53.704000000000001</v>
      </c>
      <c r="I43" s="62">
        <f>53.704</f>
        <v>53.704000000000001</v>
      </c>
      <c r="J43" s="62"/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1</v>
      </c>
      <c r="E44" s="57">
        <f t="shared" ref="E44:E59" si="11">F44+G44</f>
        <v>0</v>
      </c>
      <c r="F44" s="62"/>
      <c r="G44" s="63"/>
      <c r="H44" s="41">
        <f t="shared" si="1"/>
        <v>1</v>
      </c>
      <c r="I44" s="62">
        <v>1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3.4889999999999999</v>
      </c>
      <c r="E45" s="57">
        <f t="shared" si="11"/>
        <v>0</v>
      </c>
      <c r="F45" s="62"/>
      <c r="G45" s="63"/>
      <c r="H45" s="41">
        <f t="shared" si="1"/>
        <v>3.4889999999999999</v>
      </c>
      <c r="I45" s="62">
        <v>3.4889999999999999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/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/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0</v>
      </c>
      <c r="E48" s="57">
        <f t="shared" si="11"/>
        <v>0</v>
      </c>
      <c r="F48" s="62"/>
      <c r="G48" s="63"/>
      <c r="H48" s="41">
        <f t="shared" si="1"/>
        <v>0</v>
      </c>
      <c r="I48" s="62"/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0</v>
      </c>
      <c r="E49" s="57">
        <f t="shared" si="11"/>
        <v>0</v>
      </c>
      <c r="F49" s="62"/>
      <c r="G49" s="63"/>
      <c r="H49" s="41">
        <f t="shared" si="1"/>
        <v>0</v>
      </c>
      <c r="I49" s="62"/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10</v>
      </c>
      <c r="E50" s="57">
        <f t="shared" si="11"/>
        <v>0</v>
      </c>
      <c r="F50" s="62"/>
      <c r="G50" s="63"/>
      <c r="H50" s="41">
        <f t="shared" si="1"/>
        <v>10</v>
      </c>
      <c r="I50" s="62">
        <f>1+1</f>
        <v>2</v>
      </c>
      <c r="J50" s="62">
        <f>2+6</f>
        <v>8</v>
      </c>
      <c r="K50" s="41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563.86699999999996</v>
      </c>
      <c r="E51" s="57">
        <f t="shared" si="11"/>
        <v>0</v>
      </c>
      <c r="F51" s="62"/>
      <c r="G51" s="63"/>
      <c r="H51" s="41">
        <f t="shared" si="1"/>
        <v>563.86699999999996</v>
      </c>
      <c r="I51" s="62">
        <f>4.129+1.774</f>
        <v>5.9029999999999996</v>
      </c>
      <c r="J51" s="62">
        <f>49.092*2+459.78</f>
        <v>557.96399999999994</v>
      </c>
      <c r="K51" s="41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2</v>
      </c>
      <c r="E52" s="57">
        <f t="shared" si="11"/>
        <v>0</v>
      </c>
      <c r="F52" s="62"/>
      <c r="G52" s="63"/>
      <c r="H52" s="41">
        <f t="shared" si="1"/>
        <v>2</v>
      </c>
      <c r="I52" s="62">
        <f>1</f>
        <v>1</v>
      </c>
      <c r="J52" s="62">
        <v>1</v>
      </c>
      <c r="K52" s="41">
        <f t="shared" si="2"/>
        <v>0</v>
      </c>
      <c r="L52" s="62"/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38.42</v>
      </c>
      <c r="E53" s="57">
        <f t="shared" si="11"/>
        <v>0</v>
      </c>
      <c r="F53" s="62"/>
      <c r="G53" s="63"/>
      <c r="H53" s="41">
        <f t="shared" si="1"/>
        <v>38.42</v>
      </c>
      <c r="I53" s="62">
        <f>8.52</f>
        <v>8.52</v>
      </c>
      <c r="J53" s="62">
        <v>29.9</v>
      </c>
      <c r="K53" s="41">
        <f t="shared" si="2"/>
        <v>0</v>
      </c>
      <c r="L53" s="62"/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1</v>
      </c>
      <c r="E54" s="57">
        <f t="shared" si="11"/>
        <v>0</v>
      </c>
      <c r="F54" s="62"/>
      <c r="G54" s="63"/>
      <c r="H54" s="41">
        <f t="shared" si="1"/>
        <v>1</v>
      </c>
      <c r="I54" s="62">
        <f>1</f>
        <v>1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1.3169999999999999</v>
      </c>
      <c r="E55" s="57">
        <f t="shared" si="11"/>
        <v>0</v>
      </c>
      <c r="F55" s="62"/>
      <c r="G55" s="63"/>
      <c r="H55" s="41">
        <f t="shared" si="1"/>
        <v>1.3169999999999999</v>
      </c>
      <c r="I55" s="62">
        <f>1.317</f>
        <v>1.3169999999999999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0</v>
      </c>
      <c r="E56" s="57">
        <f t="shared" si="11"/>
        <v>0</v>
      </c>
      <c r="F56" s="62"/>
      <c r="G56" s="63"/>
      <c r="H56" s="41">
        <f t="shared" si="1"/>
        <v>0</v>
      </c>
      <c r="I56" s="62"/>
      <c r="J56" s="62"/>
      <c r="K56" s="41">
        <f t="shared" si="2"/>
        <v>0</v>
      </c>
      <c r="L56" s="62"/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0</v>
      </c>
      <c r="E57" s="57">
        <f t="shared" si="11"/>
        <v>0</v>
      </c>
      <c r="F57" s="62"/>
      <c r="G57" s="63"/>
      <c r="H57" s="41">
        <f t="shared" si="1"/>
        <v>0</v>
      </c>
      <c r="I57" s="62"/>
      <c r="J57" s="62"/>
      <c r="K57" s="41">
        <f t="shared" si="2"/>
        <v>0</v>
      </c>
      <c r="L57" s="62"/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0</v>
      </c>
      <c r="E58" s="57">
        <f t="shared" si="11"/>
        <v>0</v>
      </c>
      <c r="F58" s="62"/>
      <c r="G58" s="63"/>
      <c r="H58" s="41">
        <f t="shared" si="1"/>
        <v>0</v>
      </c>
      <c r="I58" s="62"/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0</v>
      </c>
      <c r="E59" s="72">
        <f t="shared" si="11"/>
        <v>0</v>
      </c>
      <c r="F59" s="73"/>
      <c r="G59" s="74"/>
      <c r="H59" s="41">
        <f t="shared" si="1"/>
        <v>0</v>
      </c>
      <c r="I59" s="62"/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0</v>
      </c>
      <c r="E66" s="158"/>
      <c r="F66" s="159"/>
      <c r="G66" s="160"/>
      <c r="H66" s="41">
        <f t="shared" si="1"/>
        <v>0</v>
      </c>
      <c r="I66" s="62"/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0</v>
      </c>
      <c r="E67" s="166"/>
      <c r="F67" s="167"/>
      <c r="G67" s="168"/>
      <c r="H67" s="41">
        <f t="shared" si="1"/>
        <v>0</v>
      </c>
      <c r="I67" s="62"/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0</v>
      </c>
      <c r="E70" s="158"/>
      <c r="F70" s="159"/>
      <c r="G70" s="160"/>
      <c r="H70" s="41">
        <f t="shared" si="1"/>
        <v>0</v>
      </c>
      <c r="I70" s="62"/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0</v>
      </c>
      <c r="E71" s="166"/>
      <c r="F71" s="167"/>
      <c r="G71" s="168"/>
      <c r="H71" s="41">
        <f t="shared" si="1"/>
        <v>0</v>
      </c>
      <c r="I71" s="62"/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996.37700000000007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989.2</v>
      </c>
      <c r="I72" s="178">
        <f>I74+I84+I86</f>
        <v>989.2</v>
      </c>
      <c r="J72" s="178">
        <f>J74+J84+J86</f>
        <v>0</v>
      </c>
      <c r="K72" s="41">
        <f t="shared" si="2"/>
        <v>7.1770000000000005</v>
      </c>
      <c r="L72" s="179">
        <f t="shared" si="13"/>
        <v>7.1770000000000005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0.50114999999999998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0.49304999999999999</v>
      </c>
      <c r="I73" s="18">
        <f t="shared" si="14"/>
        <v>0.49304999999999999</v>
      </c>
      <c r="J73" s="18">
        <f t="shared" si="14"/>
        <v>0</v>
      </c>
      <c r="K73" s="49">
        <f t="shared" si="2"/>
        <v>8.0999999999999996E-3</v>
      </c>
      <c r="L73" s="18">
        <f t="shared" si="14"/>
        <v>8.0999999999999996E-3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966.03000000000009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960.0630000000001</v>
      </c>
      <c r="I74" s="18">
        <f>I76+I78+I80+I82</f>
        <v>960.0630000000001</v>
      </c>
      <c r="J74" s="18">
        <f>J76+J78+J80+J82</f>
        <v>0</v>
      </c>
      <c r="K74" s="49">
        <f t="shared" si="2"/>
        <v>5.9670000000000005</v>
      </c>
      <c r="L74" s="18">
        <f>L76+L78+L80+L82</f>
        <v>5.9670000000000005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1.32E-2</v>
      </c>
      <c r="E75" s="57">
        <f t="shared" ref="E75:E86" si="16">F75+G75</f>
        <v>0</v>
      </c>
      <c r="F75" s="62"/>
      <c r="G75" s="62"/>
      <c r="H75" s="48">
        <f t="shared" si="1"/>
        <v>1.32E-2</v>
      </c>
      <c r="I75" s="20">
        <f>3.2/1000+10/1000</f>
        <v>1.32E-2</v>
      </c>
      <c r="J75" s="20"/>
      <c r="K75" s="49">
        <f t="shared" si="2"/>
        <v>0</v>
      </c>
      <c r="L75" s="20"/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9.5259999999999998</v>
      </c>
      <c r="E76" s="57">
        <f t="shared" si="16"/>
        <v>0</v>
      </c>
      <c r="F76" s="62"/>
      <c r="G76" s="62"/>
      <c r="H76" s="48">
        <f t="shared" si="1"/>
        <v>9.5259999999999998</v>
      </c>
      <c r="I76" s="20">
        <f>3.142+6.384</f>
        <v>9.5259999999999998</v>
      </c>
      <c r="J76" s="20"/>
      <c r="K76" s="49">
        <f t="shared" si="2"/>
        <v>0</v>
      </c>
      <c r="L76" s="20"/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3.1899999999999998E-2</v>
      </c>
      <c r="E77" s="57">
        <f t="shared" si="16"/>
        <v>0</v>
      </c>
      <c r="F77" s="62"/>
      <c r="G77" s="62"/>
      <c r="H77" s="48">
        <f t="shared" si="1"/>
        <v>2.5799999999999997E-2</v>
      </c>
      <c r="I77" s="20">
        <f>3/1000+1/1000+1.6/1000+7.2/1000+3/1000+0+10/1000</f>
        <v>2.5799999999999997E-2</v>
      </c>
      <c r="J77" s="20"/>
      <c r="K77" s="49">
        <f t="shared" si="2"/>
        <v>6.0999999999999995E-3</v>
      </c>
      <c r="L77" s="20">
        <f>6.1/1000+0</f>
        <v>6.0999999999999995E-3</v>
      </c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26.17</v>
      </c>
      <c r="E78" s="57">
        <f t="shared" si="16"/>
        <v>0</v>
      </c>
      <c r="F78" s="62"/>
      <c r="G78" s="62"/>
      <c r="H78" s="48">
        <f t="shared" ref="H78:H97" si="23">I78+J78</f>
        <v>21.595000000000002</v>
      </c>
      <c r="I78" s="20">
        <f>3.254+0.579+1.234+7.388+1.893+0.851+6.396</f>
        <v>21.595000000000002</v>
      </c>
      <c r="J78" s="20"/>
      <c r="K78" s="49">
        <f t="shared" ref="K78:K97" si="24">L78+M78</f>
        <v>4.5750000000000002</v>
      </c>
      <c r="L78" s="185">
        <f>3.676+0.899</f>
        <v>4.5750000000000002</v>
      </c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1.2999999999999999E-2</v>
      </c>
      <c r="E79" s="57">
        <f t="shared" si="16"/>
        <v>0</v>
      </c>
      <c r="F79" s="62"/>
      <c r="G79" s="62"/>
      <c r="H79" s="48">
        <f t="shared" si="23"/>
        <v>1.0999999999999999E-2</v>
      </c>
      <c r="I79" s="20">
        <f>0+8/1000+0+3/1000</f>
        <v>1.0999999999999999E-2</v>
      </c>
      <c r="J79" s="20"/>
      <c r="K79" s="49">
        <f t="shared" si="24"/>
        <v>2E-3</v>
      </c>
      <c r="L79" s="20">
        <f>2/1000</f>
        <v>2E-3</v>
      </c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11.418000000000001</v>
      </c>
      <c r="E80" s="57">
        <f t="shared" si="16"/>
        <v>0</v>
      </c>
      <c r="F80" s="62"/>
      <c r="G80" s="62"/>
      <c r="H80" s="48">
        <f t="shared" si="23"/>
        <v>10.026000000000002</v>
      </c>
      <c r="I80" s="20">
        <f>2.248+5.367+0.518+1.893</f>
        <v>10.026000000000002</v>
      </c>
      <c r="J80" s="20"/>
      <c r="K80" s="49">
        <f t="shared" si="24"/>
        <v>1.3919999999999999</v>
      </c>
      <c r="L80" s="20">
        <f>1.392</f>
        <v>1.3919999999999999</v>
      </c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0.44305</v>
      </c>
      <c r="E81" s="57">
        <f t="shared" si="16"/>
        <v>0</v>
      </c>
      <c r="F81" s="62"/>
      <c r="G81" s="62"/>
      <c r="H81" s="48">
        <f t="shared" si="23"/>
        <v>0.44305</v>
      </c>
      <c r="I81" s="20">
        <f>1.1/1000+3/1000+1.1/1000+0.25/1000+1/1000+436/1000+0.6/1000</f>
        <v>0.44305</v>
      </c>
      <c r="J81" s="20"/>
      <c r="K81" s="49">
        <f t="shared" si="24"/>
        <v>0</v>
      </c>
      <c r="L81" s="20"/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918.91600000000005</v>
      </c>
      <c r="E82" s="57">
        <f t="shared" si="16"/>
        <v>0</v>
      </c>
      <c r="F82" s="62"/>
      <c r="G82" s="62"/>
      <c r="H82" s="48">
        <f t="shared" si="23"/>
        <v>918.91600000000005</v>
      </c>
      <c r="I82" s="20">
        <f>1.248+1.711+1.011+0.872+1.407+911.942+0.725</f>
        <v>918.91600000000005</v>
      </c>
      <c r="J82" s="20"/>
      <c r="K82" s="49">
        <f t="shared" si="24"/>
        <v>0</v>
      </c>
      <c r="L82" s="20"/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2</v>
      </c>
      <c r="E83" s="57">
        <f t="shared" si="16"/>
        <v>0</v>
      </c>
      <c r="F83" s="62"/>
      <c r="G83" s="62"/>
      <c r="H83" s="48">
        <f t="shared" si="23"/>
        <v>2</v>
      </c>
      <c r="I83" s="20">
        <f>1+1</f>
        <v>2</v>
      </c>
      <c r="J83" s="20"/>
      <c r="K83" s="49">
        <f t="shared" si="24"/>
        <v>0</v>
      </c>
      <c r="L83" s="20"/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14.379999999999999</v>
      </c>
      <c r="E84" s="57">
        <f t="shared" si="16"/>
        <v>0</v>
      </c>
      <c r="F84" s="62"/>
      <c r="G84" s="62"/>
      <c r="H84" s="48">
        <f t="shared" si="23"/>
        <v>14.379999999999999</v>
      </c>
      <c r="I84" s="20">
        <f>7.069+7.311</f>
        <v>14.379999999999999</v>
      </c>
      <c r="J84" s="20"/>
      <c r="K84" s="49">
        <f t="shared" si="24"/>
        <v>0</v>
      </c>
      <c r="L84" s="20"/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26</v>
      </c>
      <c r="E85" s="57">
        <f t="shared" si="16"/>
        <v>0</v>
      </c>
      <c r="F85" s="62"/>
      <c r="G85" s="62"/>
      <c r="H85" s="48">
        <f t="shared" si="23"/>
        <v>24</v>
      </c>
      <c r="I85" s="20">
        <f>2+2+2+2+2+2+3+2+1+6</f>
        <v>24</v>
      </c>
      <c r="J85" s="20"/>
      <c r="K85" s="49">
        <f t="shared" si="24"/>
        <v>2</v>
      </c>
      <c r="L85" s="20">
        <f>2</f>
        <v>2</v>
      </c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15.967000000000002</v>
      </c>
      <c r="E86" s="57">
        <f t="shared" si="16"/>
        <v>0</v>
      </c>
      <c r="F86" s="62"/>
      <c r="G86" s="62"/>
      <c r="H86" s="48">
        <f t="shared" si="23"/>
        <v>14.757000000000001</v>
      </c>
      <c r="I86" s="20">
        <f>1.298+1.21+1.21+1.21+1.21+1.22+1.842+1.313+0.614+3.63</f>
        <v>14.757000000000001</v>
      </c>
      <c r="J86" s="20"/>
      <c r="K86" s="49">
        <f t="shared" si="24"/>
        <v>1.21</v>
      </c>
      <c r="L86" s="20">
        <f>1.21</f>
        <v>1.21</v>
      </c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388.34500000000003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388.34500000000003</v>
      </c>
      <c r="I87" s="195">
        <f t="shared" si="25"/>
        <v>388.34500000000003</v>
      </c>
      <c r="J87" s="195">
        <f t="shared" si="25"/>
        <v>0</v>
      </c>
      <c r="K87" s="41">
        <f t="shared" si="24"/>
        <v>0</v>
      </c>
      <c r="L87" s="195">
        <f t="shared" si="25"/>
        <v>0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0.41300000000000003</v>
      </c>
      <c r="E88" s="57">
        <f>F88+G88</f>
        <v>0</v>
      </c>
      <c r="F88" s="62"/>
      <c r="G88" s="62"/>
      <c r="H88" s="41">
        <f t="shared" si="23"/>
        <v>0.41300000000000003</v>
      </c>
      <c r="I88" s="196">
        <f>200/1000+213/1000</f>
        <v>0.41300000000000003</v>
      </c>
      <c r="J88" s="197"/>
      <c r="K88" s="41">
        <f t="shared" si="24"/>
        <v>0</v>
      </c>
      <c r="L88" s="62"/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72.711999999999989</v>
      </c>
      <c r="E89" s="57">
        <f>F89+G89</f>
        <v>0</v>
      </c>
      <c r="F89" s="62"/>
      <c r="G89" s="62"/>
      <c r="H89" s="41">
        <f t="shared" si="23"/>
        <v>72.711999999999989</v>
      </c>
      <c r="I89" s="196">
        <f>23.232+49.48</f>
        <v>72.711999999999989</v>
      </c>
      <c r="J89" s="197"/>
      <c r="K89" s="41">
        <f t="shared" si="24"/>
        <v>0</v>
      </c>
      <c r="L89" s="62"/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137</v>
      </c>
      <c r="E90" s="57">
        <v>0</v>
      </c>
      <c r="F90" s="62"/>
      <c r="G90" s="62"/>
      <c r="H90" s="41">
        <f>I90+J91</f>
        <v>137</v>
      </c>
      <c r="I90" s="196">
        <f>3+5+8+57+8+13+1+1+8+4+3+14+2+1+3+4+2</f>
        <v>137</v>
      </c>
      <c r="K90" s="41">
        <f t="shared" si="24"/>
        <v>0</v>
      </c>
      <c r="L90" s="62"/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92.513000000000005</v>
      </c>
      <c r="E91" s="57">
        <f>F91+G91</f>
        <v>0</v>
      </c>
      <c r="F91" s="62"/>
      <c r="G91" s="62"/>
      <c r="H91" s="41">
        <f t="shared" ref="H91:H93" si="31">I91+J92</f>
        <v>92.513000000000005</v>
      </c>
      <c r="I91" s="196">
        <f>1.875+2.93+4.767+46.871+1.906+3.101+4.125+2.509+6.731+2.5+1.875+8.361+1.251+0.793+0.714+0.953+1.251</f>
        <v>92.513000000000005</v>
      </c>
      <c r="J91" s="197"/>
      <c r="K91" s="41">
        <f t="shared" si="24"/>
        <v>0</v>
      </c>
      <c r="L91" s="62"/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43</v>
      </c>
      <c r="E92" s="57">
        <f>F92+G92</f>
        <v>0</v>
      </c>
      <c r="F92" s="62"/>
      <c r="G92" s="62"/>
      <c r="H92" s="41">
        <f t="shared" si="31"/>
        <v>43</v>
      </c>
      <c r="I92" s="196">
        <f>38+4+1</f>
        <v>43</v>
      </c>
      <c r="J92" s="197"/>
      <c r="K92" s="41">
        <f t="shared" si="24"/>
        <v>0</v>
      </c>
      <c r="L92" s="62"/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223.12</v>
      </c>
      <c r="E93" s="57">
        <f>F93+G93</f>
        <v>0</v>
      </c>
      <c r="F93" s="62"/>
      <c r="G93" s="62"/>
      <c r="H93" s="41">
        <f t="shared" si="31"/>
        <v>223.12</v>
      </c>
      <c r="I93" s="196">
        <f>160.65+59.317+3.153</f>
        <v>223.12</v>
      </c>
      <c r="J93" s="197"/>
      <c r="K93" s="41">
        <f t="shared" si="24"/>
        <v>0</v>
      </c>
      <c r="L93" s="62"/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0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0</v>
      </c>
      <c r="I94" s="205">
        <f t="shared" si="32"/>
        <v>0</v>
      </c>
      <c r="J94" s="205">
        <f t="shared" si="32"/>
        <v>0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0</v>
      </c>
      <c r="E95" s="57">
        <f>F95+G95</f>
        <v>0</v>
      </c>
      <c r="F95" s="62"/>
      <c r="G95" s="62"/>
      <c r="H95" s="41">
        <f t="shared" si="23"/>
        <v>0</v>
      </c>
      <c r="I95" s="62"/>
      <c r="J95" s="62"/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83.692000000000021</v>
      </c>
      <c r="E97" s="211">
        <f>F97+G97</f>
        <v>0</v>
      </c>
      <c r="F97" s="212"/>
      <c r="G97" s="212"/>
      <c r="H97" s="41">
        <f t="shared" si="23"/>
        <v>82.947000000000017</v>
      </c>
      <c r="I97" s="212">
        <f>0.634+12.027+1.138+1.639+7.829+1.201+4.46+1.173+0.745+1.116+0.745+0.649+1.954+0.938+0.649+15.585+0.579+0.745+9.067+0.649+0.649+0.938+1.526+0.938+0.938+1.153+0.649+0.938+1.226+0.868+1.858+0.719+0.745+1.919+0.466+2.742+1.153</f>
        <v>82.947000000000017</v>
      </c>
      <c r="J97" s="212"/>
      <c r="K97" s="41">
        <f t="shared" si="24"/>
        <v>0.745</v>
      </c>
      <c r="L97" s="212">
        <f>0.745</f>
        <v>0.745</v>
      </c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2372.7730000000001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2364.8510000000001</v>
      </c>
      <c r="I98" s="144">
        <f>I97+I94+I87+I72+I13</f>
        <v>1776.9870000000001</v>
      </c>
      <c r="J98" s="144">
        <f>J97+J94+J87+J72+J13</f>
        <v>587.86399999999992</v>
      </c>
      <c r="K98" s="41">
        <f>L98+M98</f>
        <v>7.9220000000000006</v>
      </c>
      <c r="L98" s="218">
        <f t="shared" si="33"/>
        <v>7.9220000000000006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78275.953999999998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5.9029999999999996</v>
      </c>
      <c r="E100" s="27"/>
      <c r="F100" s="27"/>
      <c r="G100" s="27"/>
      <c r="H100" s="27"/>
      <c r="I100" s="27">
        <f>H97-I97</f>
        <v>0</v>
      </c>
      <c r="J100" s="27">
        <f>I97+E99</f>
        <v>78358.900999999998</v>
      </c>
      <c r="K100" s="27"/>
      <c r="L100" s="27"/>
      <c r="M100" s="27">
        <f>9567.184-K98</f>
        <v>9559.2619999999988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>
        <f>I147</f>
        <v>840</v>
      </c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>
        <f>I148</f>
        <v>10.683900000000001</v>
      </c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>
        <f>740+50+50</f>
        <v>840</v>
      </c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>
        <f>(740*8.71+50*36.94+50*47.83)/1000</f>
        <v>10.683900000000001</v>
      </c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/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/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206</v>
      </c>
      <c r="B157" s="5"/>
      <c r="C157" s="5"/>
      <c r="D157" s="5"/>
      <c r="E157" s="5"/>
    </row>
    <row r="158" spans="1:24" s="6" customFormat="1">
      <c r="A158" s="1748" t="s">
        <v>207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/>
      <c r="B160" s="5"/>
      <c r="C160" s="5"/>
      <c r="D160" s="5"/>
      <c r="E160" s="5"/>
    </row>
    <row r="163" ht="6" customHeight="1"/>
  </sheetData>
  <mergeCells count="22">
    <mergeCell ref="A14:A16"/>
    <mergeCell ref="A101:T101"/>
    <mergeCell ref="A158:D15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2:IV163"/>
  <sheetViews>
    <sheetView topLeftCell="A40" zoomScale="80" zoomScaleNormal="80" workbookViewId="0">
      <selection activeCell="A157" sqref="A157:D158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188</v>
      </c>
      <c r="U6" s="1755"/>
      <c r="V6" s="1755"/>
      <c r="W6" s="1755"/>
      <c r="X6" s="1755"/>
    </row>
    <row r="7" spans="1:27" ht="53.25" customHeight="1">
      <c r="A7" s="1754" t="s">
        <v>204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4" t="s">
        <v>190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30"/>
      <c r="P8" s="264"/>
      <c r="Q8" s="264"/>
      <c r="R8" s="264"/>
      <c r="S8" s="264"/>
      <c r="T8" s="264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1285.19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1230.155</v>
      </c>
      <c r="I13" s="41">
        <f>I16+I23+I34+I36+I39+I41+I43+I45+I47+I49+I51+I53+I55+I57+I59+I61+I63+I65+I67+I69+I71</f>
        <v>1230.155</v>
      </c>
      <c r="J13" s="41">
        <f>J16+J23+J34+J36+J39+J41+J43+J45+J47+J49+J51+J53+J55+J57+J59+J61+J63+J65+J67+J69+J71</f>
        <v>0</v>
      </c>
      <c r="K13" s="41">
        <f>L13+M13</f>
        <v>55.034999999999997</v>
      </c>
      <c r="L13" s="41">
        <f>L16+L23+L34+L36+L39+L41+L43+L45+L47+L49+L51+L53+L55+L57+L59+L61+L63+L65+L67+L69+L71</f>
        <v>55.034999999999997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9</v>
      </c>
      <c r="E14" s="46"/>
      <c r="F14" s="46"/>
      <c r="G14" s="47"/>
      <c r="H14" s="48">
        <f t="shared" ref="H14:H77" si="1">I14+J14</f>
        <v>8</v>
      </c>
      <c r="I14" s="16">
        <v>8</v>
      </c>
      <c r="J14" s="16">
        <v>0</v>
      </c>
      <c r="K14" s="49">
        <v>1</v>
      </c>
      <c r="L14" s="16">
        <v>1</v>
      </c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0.125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0.10800000000000001</v>
      </c>
      <c r="I15" s="18">
        <f>I17+I19</f>
        <v>0.10800000000000001</v>
      </c>
      <c r="J15" s="18">
        <f>J17+J19</f>
        <v>0</v>
      </c>
      <c r="K15" s="49">
        <f t="shared" ref="K15:K77" si="2">L15+M15</f>
        <v>1.7000000000000001E-2</v>
      </c>
      <c r="L15" s="18">
        <f>L17+L19</f>
        <v>1.7000000000000001E-2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132.97400000000002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126.30500000000001</v>
      </c>
      <c r="I16" s="18">
        <f>I18+I20+I21</f>
        <v>126.30500000000001</v>
      </c>
      <c r="J16" s="18">
        <f>J18+J20+J21</f>
        <v>0</v>
      </c>
      <c r="K16" s="49">
        <f t="shared" si="2"/>
        <v>6.6689999999999996</v>
      </c>
      <c r="L16" s="18">
        <f>L18+L20+L21</f>
        <v>6.6689999999999996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3.7999999999999999E-2</v>
      </c>
      <c r="E17" s="57">
        <f>F17+G17</f>
        <v>0</v>
      </c>
      <c r="F17" s="62"/>
      <c r="G17" s="63"/>
      <c r="H17" s="48">
        <f t="shared" si="1"/>
        <v>3.7999999999999999E-2</v>
      </c>
      <c r="I17" s="261">
        <v>3.7999999999999999E-2</v>
      </c>
      <c r="J17" s="20">
        <v>0</v>
      </c>
      <c r="K17" s="49">
        <v>0</v>
      </c>
      <c r="L17" s="20">
        <v>0</v>
      </c>
      <c r="M17" s="20">
        <v>0</v>
      </c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95.885000000000005</v>
      </c>
      <c r="E18" s="57">
        <f>F18+G18</f>
        <v>0</v>
      </c>
      <c r="F18" s="62"/>
      <c r="G18" s="63"/>
      <c r="H18" s="48">
        <f t="shared" si="1"/>
        <v>95.885000000000005</v>
      </c>
      <c r="I18" s="20">
        <v>95.885000000000005</v>
      </c>
      <c r="J18" s="20">
        <v>0</v>
      </c>
      <c r="K18" s="49">
        <v>0</v>
      </c>
      <c r="L18" s="20">
        <v>0</v>
      </c>
      <c r="M18" s="20">
        <v>0</v>
      </c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8.7000000000000008E-2</v>
      </c>
      <c r="E19" s="57">
        <f>F19+G19</f>
        <v>0</v>
      </c>
      <c r="F19" s="62"/>
      <c r="G19" s="63"/>
      <c r="H19" s="48">
        <f t="shared" si="1"/>
        <v>7.0000000000000007E-2</v>
      </c>
      <c r="I19" s="28">
        <v>7.0000000000000007E-2</v>
      </c>
      <c r="J19" s="20"/>
      <c r="K19" s="49">
        <v>1.7000000000000001E-2</v>
      </c>
      <c r="L19" s="20">
        <v>1.7000000000000001E-2</v>
      </c>
      <c r="M19" s="20"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37.088999999999999</v>
      </c>
      <c r="E20" s="72">
        <f>F20+G20</f>
        <v>0</v>
      </c>
      <c r="F20" s="73"/>
      <c r="G20" s="74"/>
      <c r="H20" s="48">
        <f t="shared" si="1"/>
        <v>30.42</v>
      </c>
      <c r="I20" s="20">
        <v>30.42</v>
      </c>
      <c r="J20" s="20"/>
      <c r="K20" s="49">
        <v>6.6689999999999996</v>
      </c>
      <c r="L20" s="20">
        <v>6.6689999999999996</v>
      </c>
      <c r="M20" s="20"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0</v>
      </c>
      <c r="E22" s="85"/>
      <c r="F22" s="86"/>
      <c r="G22" s="87"/>
      <c r="H22" s="41">
        <f t="shared" si="1"/>
        <v>0</v>
      </c>
      <c r="I22" s="86"/>
      <c r="J22" s="86"/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0</v>
      </c>
      <c r="E23" s="94"/>
      <c r="F23" s="95"/>
      <c r="G23" s="96"/>
      <c r="H23" s="41">
        <f t="shared" si="1"/>
        <v>0</v>
      </c>
      <c r="I23" s="95">
        <f>I25+I27+I29+I31+I32</f>
        <v>0</v>
      </c>
      <c r="J23" s="95">
        <f>J25+J27+J29+J31+J32</f>
        <v>0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0</v>
      </c>
      <c r="E24" s="57"/>
      <c r="F24" s="62"/>
      <c r="G24" s="63"/>
      <c r="H24" s="41">
        <f t="shared" si="1"/>
        <v>0</v>
      </c>
      <c r="I24" s="101"/>
      <c r="J24" s="101"/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0</v>
      </c>
      <c r="E25" s="57"/>
      <c r="F25" s="62"/>
      <c r="G25" s="63"/>
      <c r="H25" s="41">
        <f t="shared" si="1"/>
        <v>0</v>
      </c>
      <c r="I25" s="101"/>
      <c r="J25" s="101"/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0</v>
      </c>
      <c r="E26" s="57"/>
      <c r="F26" s="62"/>
      <c r="G26" s="63"/>
      <c r="H26" s="41">
        <f t="shared" si="1"/>
        <v>0</v>
      </c>
      <c r="I26" s="101"/>
      <c r="J26" s="101"/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0</v>
      </c>
      <c r="E27" s="57"/>
      <c r="F27" s="62"/>
      <c r="G27" s="63"/>
      <c r="H27" s="41">
        <f t="shared" si="1"/>
        <v>0</v>
      </c>
      <c r="I27" s="101"/>
      <c r="J27" s="101"/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/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/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/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/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0</v>
      </c>
      <c r="E32" s="57"/>
      <c r="F32" s="62"/>
      <c r="G32" s="63"/>
      <c r="H32" s="41">
        <f t="shared" si="1"/>
        <v>0</v>
      </c>
      <c r="I32" s="101"/>
      <c r="J32" s="101"/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5.7999999999999996E-2</v>
      </c>
      <c r="E33" s="57">
        <f t="shared" ref="E33:E39" si="9">F33+G33</f>
        <v>0</v>
      </c>
      <c r="F33" s="62"/>
      <c r="G33" s="63"/>
      <c r="H33" s="41">
        <f t="shared" si="1"/>
        <v>3.1E-2</v>
      </c>
      <c r="I33" s="62">
        <f>16/1000+15/1000</f>
        <v>3.1E-2</v>
      </c>
      <c r="J33" s="62"/>
      <c r="K33" s="41">
        <f t="shared" si="2"/>
        <v>2.7E-2</v>
      </c>
      <c r="L33" s="62">
        <f>24/1000+3/1000</f>
        <v>2.7E-2</v>
      </c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87.715000000000003</v>
      </c>
      <c r="E34" s="57">
        <f t="shared" si="9"/>
        <v>0</v>
      </c>
      <c r="F34" s="62"/>
      <c r="G34" s="63"/>
      <c r="H34" s="41">
        <f t="shared" si="1"/>
        <v>46.828000000000003</v>
      </c>
      <c r="I34" s="62">
        <f>11.506+35.322</f>
        <v>46.828000000000003</v>
      </c>
      <c r="J34" s="62"/>
      <c r="K34" s="41">
        <f t="shared" si="2"/>
        <v>40.887</v>
      </c>
      <c r="L34" s="62">
        <f>17.168+23.719</f>
        <v>40.887</v>
      </c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0</v>
      </c>
      <c r="E35" s="57">
        <f t="shared" si="9"/>
        <v>0</v>
      </c>
      <c r="F35" s="62"/>
      <c r="G35" s="63"/>
      <c r="H35" s="41">
        <f t="shared" si="1"/>
        <v>0</v>
      </c>
      <c r="I35" s="62"/>
      <c r="J35" s="62"/>
      <c r="K35" s="41">
        <f t="shared" si="2"/>
        <v>0</v>
      </c>
      <c r="L35" s="62"/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0</v>
      </c>
      <c r="E36" s="57">
        <f t="shared" si="9"/>
        <v>0</v>
      </c>
      <c r="F36" s="62"/>
      <c r="G36" s="63"/>
      <c r="H36" s="41">
        <f t="shared" si="1"/>
        <v>0</v>
      </c>
      <c r="I36" s="62"/>
      <c r="J36" s="62"/>
      <c r="K36" s="41">
        <f t="shared" si="2"/>
        <v>0</v>
      </c>
      <c r="L36" s="62"/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0</v>
      </c>
      <c r="E37" s="57">
        <f t="shared" si="9"/>
        <v>0</v>
      </c>
      <c r="F37" s="62"/>
      <c r="G37" s="63"/>
      <c r="H37" s="41">
        <f t="shared" si="1"/>
        <v>0</v>
      </c>
      <c r="I37" s="62"/>
      <c r="J37" s="62"/>
      <c r="K37" s="41">
        <f t="shared" si="2"/>
        <v>0</v>
      </c>
      <c r="L37" s="62"/>
      <c r="M37" s="62"/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0</v>
      </c>
      <c r="E38" s="57">
        <f t="shared" si="9"/>
        <v>0</v>
      </c>
      <c r="F38" s="62"/>
      <c r="G38" s="63"/>
      <c r="H38" s="41">
        <f t="shared" si="1"/>
        <v>0</v>
      </c>
      <c r="I38" s="62"/>
      <c r="J38" s="62"/>
      <c r="K38" s="41">
        <f t="shared" si="2"/>
        <v>0</v>
      </c>
      <c r="L38" s="62"/>
      <c r="M38" s="62"/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0</v>
      </c>
      <c r="E39" s="72">
        <f t="shared" si="9"/>
        <v>0</v>
      </c>
      <c r="F39" s="73"/>
      <c r="G39" s="74"/>
      <c r="H39" s="41">
        <f t="shared" si="1"/>
        <v>0</v>
      </c>
      <c r="I39" s="62"/>
      <c r="J39" s="62"/>
      <c r="K39" s="41">
        <f t="shared" si="2"/>
        <v>0</v>
      </c>
      <c r="L39" s="62"/>
      <c r="M39" s="62"/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</v>
      </c>
      <c r="E40" s="123"/>
      <c r="F40" s="133"/>
      <c r="G40" s="134"/>
      <c r="H40" s="41">
        <f t="shared" si="1"/>
        <v>0</v>
      </c>
      <c r="I40" s="135"/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0</v>
      </c>
      <c r="E41" s="121"/>
      <c r="F41" s="141"/>
      <c r="G41" s="142"/>
      <c r="H41" s="41">
        <f t="shared" si="1"/>
        <v>0</v>
      </c>
      <c r="I41" s="62"/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0</v>
      </c>
      <c r="E42" s="123"/>
      <c r="F42" s="133"/>
      <c r="G42" s="134"/>
      <c r="H42" s="41">
        <f t="shared" si="1"/>
        <v>0</v>
      </c>
      <c r="I42" s="62"/>
      <c r="J42" s="62"/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0</v>
      </c>
      <c r="E43" s="121"/>
      <c r="F43" s="141"/>
      <c r="G43" s="142"/>
      <c r="H43" s="41">
        <f t="shared" si="1"/>
        <v>0</v>
      </c>
      <c r="I43" s="62"/>
      <c r="J43" s="62"/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20</v>
      </c>
      <c r="E44" s="57">
        <f t="shared" ref="E44:E59" si="11">F44+G44</f>
        <v>0</v>
      </c>
      <c r="F44" s="62"/>
      <c r="G44" s="63"/>
      <c r="H44" s="41">
        <f t="shared" si="1"/>
        <v>20</v>
      </c>
      <c r="I44" s="62">
        <f>1+1+1+1+1+4+1+1+1+4+1+1+1+1</f>
        <v>20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26.4</v>
      </c>
      <c r="E45" s="57">
        <f t="shared" si="11"/>
        <v>0</v>
      </c>
      <c r="F45" s="62"/>
      <c r="G45" s="63"/>
      <c r="H45" s="41">
        <f t="shared" si="1"/>
        <v>26.4</v>
      </c>
      <c r="I45" s="62">
        <f>0.905+1.384+2.014+0.622+4.826+2.607+2.774+0.85+0.749+5.646+1.401+1.402+0.61+0.61</f>
        <v>26.4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/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/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0</v>
      </c>
      <c r="E48" s="57">
        <f t="shared" si="11"/>
        <v>0</v>
      </c>
      <c r="F48" s="62"/>
      <c r="G48" s="63"/>
      <c r="H48" s="41">
        <f t="shared" si="1"/>
        <v>0</v>
      </c>
      <c r="I48" s="62"/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0</v>
      </c>
      <c r="E49" s="57">
        <f t="shared" si="11"/>
        <v>0</v>
      </c>
      <c r="F49" s="62"/>
      <c r="G49" s="63"/>
      <c r="H49" s="41">
        <f t="shared" si="1"/>
        <v>0</v>
      </c>
      <c r="I49" s="62"/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8</v>
      </c>
      <c r="E50" s="57">
        <f t="shared" si="11"/>
        <v>0</v>
      </c>
      <c r="F50" s="62"/>
      <c r="G50" s="63"/>
      <c r="H50" s="41">
        <f t="shared" si="1"/>
        <v>8</v>
      </c>
      <c r="I50" s="62">
        <f>1+1+1+1+1+3</f>
        <v>8</v>
      </c>
      <c r="J50" s="62"/>
      <c r="K50" s="41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395.71299999999997</v>
      </c>
      <c r="E51" s="57">
        <f t="shared" si="11"/>
        <v>0</v>
      </c>
      <c r="F51" s="62"/>
      <c r="G51" s="63"/>
      <c r="H51" s="41">
        <f t="shared" si="1"/>
        <v>395.71299999999997</v>
      </c>
      <c r="I51" s="62">
        <f>0.75+1.5+75.404+92.875+62.203+162.981</f>
        <v>395.71299999999997</v>
      </c>
      <c r="J51" s="62"/>
      <c r="K51" s="41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15</v>
      </c>
      <c r="E52" s="57">
        <f t="shared" si="11"/>
        <v>0</v>
      </c>
      <c r="F52" s="62"/>
      <c r="G52" s="63"/>
      <c r="H52" s="41">
        <f t="shared" si="1"/>
        <v>14</v>
      </c>
      <c r="I52" s="62">
        <f>1+2+1+1+2+1+1+1+1+1+1+1</f>
        <v>14</v>
      </c>
      <c r="J52" s="62"/>
      <c r="K52" s="41">
        <f t="shared" si="2"/>
        <v>1</v>
      </c>
      <c r="L52" s="62">
        <v>1</v>
      </c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206.48500000000004</v>
      </c>
      <c r="E53" s="57">
        <f t="shared" si="11"/>
        <v>0</v>
      </c>
      <c r="F53" s="62"/>
      <c r="G53" s="63"/>
      <c r="H53" s="41">
        <f t="shared" si="1"/>
        <v>199.00600000000003</v>
      </c>
      <c r="I53" s="62">
        <f>12.665+34.726+12.665+8.498+25.848+12.665+6.79+15.266+9.488+26.479+21.251+12.665</f>
        <v>199.00600000000003</v>
      </c>
      <c r="J53" s="62"/>
      <c r="K53" s="41">
        <f t="shared" si="2"/>
        <v>7.4790000000000001</v>
      </c>
      <c r="L53" s="62">
        <v>7.4790000000000001</v>
      </c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37</v>
      </c>
      <c r="E54" s="57">
        <f t="shared" si="11"/>
        <v>0</v>
      </c>
      <c r="F54" s="62"/>
      <c r="G54" s="63"/>
      <c r="H54" s="41">
        <f t="shared" si="1"/>
        <v>37</v>
      </c>
      <c r="I54" s="62">
        <f>4+4+1+1+1+1+1+1+2+4+9+8</f>
        <v>37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425.39100000000008</v>
      </c>
      <c r="E55" s="57">
        <f t="shared" si="11"/>
        <v>0</v>
      </c>
      <c r="F55" s="62"/>
      <c r="G55" s="63"/>
      <c r="H55" s="41">
        <f t="shared" si="1"/>
        <v>425.39100000000008</v>
      </c>
      <c r="I55" s="62">
        <f>3.486+4.542+0.492+0.492+5.558+0.492+1.509+2.851+3.156+80.751+188.496+133.566</f>
        <v>425.39100000000008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4.0000000000000001E-3</v>
      </c>
      <c r="E56" s="57">
        <f t="shared" si="11"/>
        <v>0</v>
      </c>
      <c r="F56" s="62"/>
      <c r="G56" s="63"/>
      <c r="H56" s="41">
        <f t="shared" si="1"/>
        <v>4.0000000000000001E-3</v>
      </c>
      <c r="I56" s="62">
        <v>4.0000000000000001E-3</v>
      </c>
      <c r="J56" s="62"/>
      <c r="K56" s="41">
        <f t="shared" si="2"/>
        <v>0</v>
      </c>
      <c r="L56" s="62"/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1.8660000000000001</v>
      </c>
      <c r="E57" s="57">
        <f t="shared" si="11"/>
        <v>0</v>
      </c>
      <c r="F57" s="62"/>
      <c r="G57" s="63"/>
      <c r="H57" s="41">
        <f t="shared" si="1"/>
        <v>1.8660000000000001</v>
      </c>
      <c r="I57" s="62">
        <v>1.8660000000000001</v>
      </c>
      <c r="J57" s="62"/>
      <c r="K57" s="41">
        <f t="shared" si="2"/>
        <v>0</v>
      </c>
      <c r="L57" s="62"/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1</v>
      </c>
      <c r="E58" s="57">
        <f t="shared" si="11"/>
        <v>0</v>
      </c>
      <c r="F58" s="62"/>
      <c r="G58" s="63"/>
      <c r="H58" s="41">
        <f t="shared" si="1"/>
        <v>1</v>
      </c>
      <c r="I58" s="62">
        <v>1</v>
      </c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4.5369999999999999</v>
      </c>
      <c r="E59" s="72">
        <f t="shared" si="11"/>
        <v>0</v>
      </c>
      <c r="F59" s="73"/>
      <c r="G59" s="74"/>
      <c r="H59" s="41">
        <f t="shared" si="1"/>
        <v>4.5369999999999999</v>
      </c>
      <c r="I59" s="62">
        <v>4.5369999999999999</v>
      </c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2</v>
      </c>
      <c r="E66" s="158"/>
      <c r="F66" s="159"/>
      <c r="G66" s="160"/>
      <c r="H66" s="41">
        <f t="shared" si="1"/>
        <v>2</v>
      </c>
      <c r="I66" s="62">
        <f>1+1</f>
        <v>2</v>
      </c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4.109</v>
      </c>
      <c r="E67" s="166"/>
      <c r="F67" s="167"/>
      <c r="G67" s="168"/>
      <c r="H67" s="41">
        <f t="shared" si="1"/>
        <v>4.109</v>
      </c>
      <c r="I67" s="62">
        <f>2.727+1.382</f>
        <v>4.109</v>
      </c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0</v>
      </c>
      <c r="E70" s="158"/>
      <c r="F70" s="159"/>
      <c r="G70" s="160"/>
      <c r="H70" s="41">
        <f t="shared" si="1"/>
        <v>0</v>
      </c>
      <c r="I70" s="62"/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0</v>
      </c>
      <c r="E71" s="166"/>
      <c r="F71" s="167"/>
      <c r="G71" s="168"/>
      <c r="H71" s="41">
        <f t="shared" si="1"/>
        <v>0</v>
      </c>
      <c r="I71" s="62"/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1045.9290000000001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947.553</v>
      </c>
      <c r="I72" s="178">
        <f>I74+I84+I86</f>
        <v>947.553</v>
      </c>
      <c r="J72" s="178">
        <f>J74+J84+J86</f>
        <v>0</v>
      </c>
      <c r="K72" s="41">
        <f t="shared" si="2"/>
        <v>98.376000000000005</v>
      </c>
      <c r="L72" s="179">
        <f t="shared" si="13"/>
        <v>98.376000000000005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0.68030000000000002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0.62680000000000002</v>
      </c>
      <c r="I73" s="18">
        <f t="shared" si="14"/>
        <v>0.62680000000000002</v>
      </c>
      <c r="J73" s="18">
        <f t="shared" si="14"/>
        <v>0</v>
      </c>
      <c r="K73" s="49">
        <f t="shared" si="2"/>
        <v>5.3500000000000006E-2</v>
      </c>
      <c r="L73" s="18">
        <f t="shared" si="14"/>
        <v>5.3500000000000006E-2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762.38800000000003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720.29000000000008</v>
      </c>
      <c r="I74" s="18">
        <f>I76+I78+I80+I82</f>
        <v>720.29000000000008</v>
      </c>
      <c r="J74" s="18">
        <f>J76+J78+J80+J82</f>
        <v>0</v>
      </c>
      <c r="K74" s="49">
        <f t="shared" si="2"/>
        <v>42.097999999999999</v>
      </c>
      <c r="L74" s="18">
        <f>L76+L78+L80+L82</f>
        <v>42.097999999999999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9.6999999999999989E-2</v>
      </c>
      <c r="E75" s="57">
        <f t="shared" ref="E75:E86" si="16">F75+G75</f>
        <v>0</v>
      </c>
      <c r="F75" s="62"/>
      <c r="G75" s="62"/>
      <c r="H75" s="48">
        <f t="shared" si="1"/>
        <v>8.3499999999999991E-2</v>
      </c>
      <c r="I75" s="20">
        <f>12.5/1000+26/1000+16.4/1000+1.5/1000+3.1/1000+3/1000+13/1000+8/1000</f>
        <v>8.3499999999999991E-2</v>
      </c>
      <c r="J75" s="258"/>
      <c r="K75" s="49">
        <f t="shared" si="2"/>
        <v>1.35E-2</v>
      </c>
      <c r="L75" s="20">
        <f>2/1000+11.5/1000</f>
        <v>1.35E-2</v>
      </c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84.301000000000016</v>
      </c>
      <c r="E76" s="57">
        <f t="shared" si="16"/>
        <v>0</v>
      </c>
      <c r="F76" s="62"/>
      <c r="G76" s="62"/>
      <c r="H76" s="48">
        <f t="shared" si="1"/>
        <v>75.76700000000001</v>
      </c>
      <c r="I76" s="20">
        <f>56.319+1.328+1.064+2.745+0.343+1.96+7.714+4.294</f>
        <v>75.76700000000001</v>
      </c>
      <c r="J76" s="258"/>
      <c r="K76" s="49">
        <f t="shared" si="2"/>
        <v>8.5340000000000007</v>
      </c>
      <c r="L76" s="20">
        <f>1.212+7.322</f>
        <v>8.5340000000000007</v>
      </c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0.26830000000000004</v>
      </c>
      <c r="E77" s="57">
        <f t="shared" si="16"/>
        <v>0</v>
      </c>
      <c r="F77" s="62"/>
      <c r="G77" s="62"/>
      <c r="H77" s="48">
        <f t="shared" si="1"/>
        <v>0.25060000000000004</v>
      </c>
      <c r="I77" s="20">
        <f>(5+4+9.4+2+4+1.5+6+12.5+26+17.4+4.2+3.2+4.2+4.1+3.1+45+16+3.5+1+2+3+8+2.5+1+4+4+4+6+8+2+13+8+13)/1000</f>
        <v>0.25060000000000004</v>
      </c>
      <c r="J77" s="258"/>
      <c r="K77" s="49">
        <f t="shared" si="2"/>
        <v>1.77E-2</v>
      </c>
      <c r="L77" s="20">
        <f>6.2/1000+11.5/1000</f>
        <v>1.77E-2</v>
      </c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224.99600000000001</v>
      </c>
      <c r="E78" s="57">
        <f t="shared" si="16"/>
        <v>0</v>
      </c>
      <c r="F78" s="62"/>
      <c r="G78" s="62"/>
      <c r="H78" s="48">
        <f t="shared" ref="H78:H97" si="23">I78+J78</f>
        <v>212.62100000000001</v>
      </c>
      <c r="I78" s="20">
        <f>7.347+4.499+4.029+1.219+2.903+1.369+4.511+57.221+4.314+3.08+5.027+2.918+2.963+37.918+15.854+3.68+1.797+1.683+6.427+2.053+2.883+2.883+7.303+5.552+1.766+7.714+4.38+9.328</f>
        <v>212.62100000000001</v>
      </c>
      <c r="J78" s="259"/>
      <c r="K78" s="49">
        <f t="shared" ref="K78:K97" si="24">L78+M78</f>
        <v>12.375</v>
      </c>
      <c r="L78" s="185">
        <f>4.37+0.676+7.329</f>
        <v>12.375</v>
      </c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0.18339999999999998</v>
      </c>
      <c r="E79" s="57">
        <f t="shared" si="16"/>
        <v>0</v>
      </c>
      <c r="F79" s="62"/>
      <c r="G79" s="62"/>
      <c r="H79" s="48">
        <f t="shared" si="23"/>
        <v>0.17189999999999997</v>
      </c>
      <c r="I79" s="20">
        <f>(4+10.8+10+4+2+1+2+2+2+3+1+6+1+3+3+3+6+3+8+0.5+1.5+2+26+4+1.5+1+0.5+1+10.1+6+12+2+1.5+7+8+5+1.5+4+2)/1000</f>
        <v>0.17189999999999997</v>
      </c>
      <c r="J79" s="20"/>
      <c r="K79" s="49">
        <f t="shared" si="24"/>
        <v>1.15E-2</v>
      </c>
      <c r="L79" s="20">
        <f>3/1000+2/1000+3/1000+1.5/1000+2/1000</f>
        <v>1.15E-2</v>
      </c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172.45800000000003</v>
      </c>
      <c r="E80" s="57">
        <f t="shared" si="16"/>
        <v>0</v>
      </c>
      <c r="F80" s="62"/>
      <c r="G80" s="62"/>
      <c r="H80" s="48">
        <f t="shared" si="23"/>
        <v>164.23700000000002</v>
      </c>
      <c r="I80" s="20">
        <f>7.683+10.917+5.619+3.277+2.221+1.13+1.834+1.435+1.237+2.073+0.909+0.573+1.316+1.365+3.863+1.159+1.365+3.683+2.985+2.733+3.846+3.145+6.268+0.732+1.958+16.253+4.613+1.443+0.688+0.883+0.883+30.615+3.251+0.244+6.961+1.313+0.999+5.357+7.223+4.391+0.854+3.135+1.805</f>
        <v>164.23700000000002</v>
      </c>
      <c r="J80" s="259"/>
      <c r="K80" s="49">
        <f t="shared" si="24"/>
        <v>8.2210000000000001</v>
      </c>
      <c r="L80" s="20">
        <f>1.541+0.303+1.231+2.327+1.029+1.79</f>
        <v>8.2210000000000001</v>
      </c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0.13160000000000002</v>
      </c>
      <c r="E81" s="57">
        <f t="shared" si="16"/>
        <v>0</v>
      </c>
      <c r="F81" s="62"/>
      <c r="G81" s="62"/>
      <c r="H81" s="48">
        <f t="shared" si="23"/>
        <v>0.12080000000000002</v>
      </c>
      <c r="I81" s="20">
        <f>4/1000+2/1000+42.5/1000+3.5/1000+10.2/1000+0.1/1000+4/1000+4.5/1000+8/1000+20/1000+12/1000+6/1000+4/1000</f>
        <v>0.12080000000000002</v>
      </c>
      <c r="J81" s="20"/>
      <c r="K81" s="49">
        <f t="shared" si="24"/>
        <v>1.0800000000000001E-2</v>
      </c>
      <c r="L81" s="20">
        <f>2/1000+0.8/1000+8/1000</f>
        <v>1.0800000000000001E-2</v>
      </c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280.63300000000004</v>
      </c>
      <c r="E82" s="57">
        <f t="shared" si="16"/>
        <v>0</v>
      </c>
      <c r="F82" s="62"/>
      <c r="G82" s="62"/>
      <c r="H82" s="48">
        <f t="shared" si="23"/>
        <v>267.66500000000002</v>
      </c>
      <c r="I82" s="20">
        <f>3.814+3.271+161.872+1.483+4.463+0.047+6.144+7.079+12.287+50.759+9.539+6.907</f>
        <v>267.66500000000002</v>
      </c>
      <c r="J82" s="20"/>
      <c r="K82" s="49">
        <f t="shared" si="24"/>
        <v>12.968</v>
      </c>
      <c r="L82" s="20">
        <f>3.224+1.908+7.836</f>
        <v>12.968</v>
      </c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22</v>
      </c>
      <c r="E83" s="57">
        <f t="shared" si="16"/>
        <v>0</v>
      </c>
      <c r="F83" s="62"/>
      <c r="G83" s="62"/>
      <c r="H83" s="48">
        <f t="shared" si="23"/>
        <v>15</v>
      </c>
      <c r="I83" s="20">
        <f>1+1+1+1+4+1+1+1+1+2+1</f>
        <v>15</v>
      </c>
      <c r="J83" s="20"/>
      <c r="K83" s="49">
        <f t="shared" si="24"/>
        <v>7</v>
      </c>
      <c r="L83" s="20">
        <f>2+1+2+1+1</f>
        <v>7</v>
      </c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125.47999999999999</v>
      </c>
      <c r="E84" s="57">
        <f t="shared" si="16"/>
        <v>0</v>
      </c>
      <c r="F84" s="62"/>
      <c r="G84" s="62"/>
      <c r="H84" s="48">
        <f t="shared" si="23"/>
        <v>82.010999999999996</v>
      </c>
      <c r="I84" s="20">
        <f>1.908+3.964+7.687+4.784+22.084+5.495+7.145+6.377+5.647+9.775+7.145</f>
        <v>82.010999999999996</v>
      </c>
      <c r="J84" s="20"/>
      <c r="K84" s="49">
        <f t="shared" si="24"/>
        <v>43.469000000000001</v>
      </c>
      <c r="L84" s="20">
        <f>10.954+6.377+13.523+6.968+5.647</f>
        <v>43.469000000000001</v>
      </c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231</v>
      </c>
      <c r="E85" s="57">
        <f t="shared" si="16"/>
        <v>0</v>
      </c>
      <c r="F85" s="62"/>
      <c r="G85" s="62"/>
      <c r="H85" s="48">
        <f t="shared" si="23"/>
        <v>214</v>
      </c>
      <c r="I85" s="20">
        <f>1+34+2+3+2+2+1+70+1+2+2+2+2+4+1+2+3+13+14+10+1+1+2+3+4+2+1+2+1+1+1+1+3+10+2+6+2</f>
        <v>214</v>
      </c>
      <c r="J85" s="20"/>
      <c r="K85" s="49">
        <f t="shared" si="24"/>
        <v>17</v>
      </c>
      <c r="L85" s="20">
        <f>3+10+2+2</f>
        <v>17</v>
      </c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158.06099999999995</v>
      </c>
      <c r="E86" s="57">
        <f t="shared" si="16"/>
        <v>0</v>
      </c>
      <c r="F86" s="62"/>
      <c r="G86" s="62"/>
      <c r="H86" s="48">
        <f t="shared" si="23"/>
        <v>145.25199999999995</v>
      </c>
      <c r="I86" s="20">
        <f>0.609+22.924+1.474+1.94+1.474+1.474+0.735+47.79+1.167+1.185+2.913+1.305+1.289+2.559+0.909+1.204+3.981+1.333+2.065+9.078+6.707+0.591+0.798+1.474+2.074+2.879+2.233+0.601+1.204+1.23+0.601+0.735+1.982+7.367+1.474+4.42+1.474</f>
        <v>145.25199999999995</v>
      </c>
      <c r="J86" s="20"/>
      <c r="K86" s="49">
        <f t="shared" si="24"/>
        <v>12.809000000000001</v>
      </c>
      <c r="L86" s="20">
        <f>3.531+6.548+1.256+1.474</f>
        <v>12.809000000000001</v>
      </c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934.79399999999953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925.53799999999956</v>
      </c>
      <c r="I87" s="195">
        <f t="shared" si="25"/>
        <v>925.53799999999956</v>
      </c>
      <c r="J87" s="195">
        <f t="shared" si="25"/>
        <v>0</v>
      </c>
      <c r="K87" s="41">
        <f t="shared" si="24"/>
        <v>9.2560000000000002</v>
      </c>
      <c r="L87" s="195">
        <f t="shared" si="25"/>
        <v>9.2560000000000002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0.53</v>
      </c>
      <c r="E88" s="57">
        <f>F88+G88</f>
        <v>0</v>
      </c>
      <c r="F88" s="62"/>
      <c r="G88" s="62"/>
      <c r="H88" s="41">
        <f t="shared" si="23"/>
        <v>0.53</v>
      </c>
      <c r="I88" s="196">
        <f>20/1000+420/1000+70/1000+10/1000+10/1000</f>
        <v>0.53</v>
      </c>
      <c r="J88" s="197"/>
      <c r="K88" s="41">
        <f t="shared" si="24"/>
        <v>0</v>
      </c>
      <c r="L88" s="62"/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70.734999999999999</v>
      </c>
      <c r="E89" s="57">
        <f>F89+G89</f>
        <v>0</v>
      </c>
      <c r="F89" s="62"/>
      <c r="G89" s="62"/>
      <c r="H89" s="41">
        <f t="shared" si="23"/>
        <v>70.734999999999999</v>
      </c>
      <c r="I89" s="196">
        <f>3.325+48.506+12.204+1.687+5.013</f>
        <v>70.734999999999999</v>
      </c>
      <c r="J89" s="197"/>
      <c r="K89" s="41">
        <f t="shared" si="24"/>
        <v>0</v>
      </c>
      <c r="L89" s="62"/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782</v>
      </c>
      <c r="E90" s="57">
        <v>0</v>
      </c>
      <c r="F90" s="62"/>
      <c r="G90" s="62"/>
      <c r="H90" s="41">
        <f>I90+J91</f>
        <v>782</v>
      </c>
      <c r="I90" s="196">
        <f>1+511+5+1+126+1+1+4+1+2+3+1+2+2+2+1+1+3+2+1+3+3+2+10+4+5+3+4+3+3+3+3+14+2+1+6+2+5+1+1+1+1+1+1+1+1+2+1+21+2+1</f>
        <v>782</v>
      </c>
      <c r="K90" s="41">
        <f t="shared" si="24"/>
        <v>0</v>
      </c>
      <c r="L90" s="62"/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785.45399999999961</v>
      </c>
      <c r="E91" s="57">
        <f>F91+G91</f>
        <v>0</v>
      </c>
      <c r="F91" s="62"/>
      <c r="G91" s="62"/>
      <c r="H91" s="41">
        <f t="shared" ref="H91:H93" si="31">I91+J92</f>
        <v>785.45399999999961</v>
      </c>
      <c r="I91" s="196">
        <f>2.759+467.156+0.583+154.462+0.583+2.943+3.309+3.595+3.986+0.581+1.204+3.304+1.28+0.581+0.794+4.187+3.37+1.391+4.187+4.358+1.244+7.703+5.581+6.977+4.187+5.581+4.187+4.187+4.358+4.358+13.014+1.521+0.64+8.426+1.162+2.903+0.761+3.367+0.64+2.746+1.45+1.45+0.424+2.762+4.102+16.857+7.449+2.804</f>
        <v>785.45399999999961</v>
      </c>
      <c r="J91" s="197"/>
      <c r="K91" s="41">
        <f t="shared" si="24"/>
        <v>0</v>
      </c>
      <c r="L91" s="62"/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17</v>
      </c>
      <c r="E92" s="57">
        <f>F92+G92</f>
        <v>0</v>
      </c>
      <c r="F92" s="62"/>
      <c r="G92" s="62"/>
      <c r="H92" s="41">
        <f t="shared" si="31"/>
        <v>14</v>
      </c>
      <c r="I92" s="196">
        <f>1+1+1+1+1+1+2+1+1+4</f>
        <v>14</v>
      </c>
      <c r="J92" s="197"/>
      <c r="K92" s="41">
        <f t="shared" si="24"/>
        <v>3</v>
      </c>
      <c r="L92" s="62">
        <f>1+1+1</f>
        <v>3</v>
      </c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78.60499999999999</v>
      </c>
      <c r="E93" s="57">
        <f>F93+G93</f>
        <v>0</v>
      </c>
      <c r="F93" s="62"/>
      <c r="G93" s="62"/>
      <c r="H93" s="41">
        <f t="shared" si="31"/>
        <v>69.34899999999999</v>
      </c>
      <c r="I93" s="196">
        <f>2.759+2.824+2.727+2.892+2.727+2.735+16.8+1.441+31.302+3.142</f>
        <v>69.34899999999999</v>
      </c>
      <c r="J93" s="197"/>
      <c r="K93" s="41">
        <f t="shared" si="24"/>
        <v>9.2560000000000002</v>
      </c>
      <c r="L93" s="62">
        <f>3.304+3.036+2.916</f>
        <v>9.2560000000000002</v>
      </c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0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0</v>
      </c>
      <c r="I94" s="205">
        <f t="shared" si="32"/>
        <v>0</v>
      </c>
      <c r="J94" s="205">
        <f t="shared" si="32"/>
        <v>0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0</v>
      </c>
      <c r="E95" s="57">
        <f>F95+G95</f>
        <v>0</v>
      </c>
      <c r="F95" s="62"/>
      <c r="G95" s="62"/>
      <c r="H95" s="41">
        <f t="shared" si="23"/>
        <v>0</v>
      </c>
      <c r="I95" s="62"/>
      <c r="J95" s="62"/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67.596999999999994</v>
      </c>
      <c r="E97" s="211">
        <f>F97+G97</f>
        <v>0</v>
      </c>
      <c r="F97" s="212"/>
      <c r="G97" s="212"/>
      <c r="H97" s="41">
        <f t="shared" si="23"/>
        <v>65.778999999999996</v>
      </c>
      <c r="I97" s="212">
        <f>0.707+19.497+0.74+0.244+0.539+1.345+0.269+0.485+5.312+5.312+0.455+0.363+0.244+1.094+9.343+0.728+1.094+0.97+0.486+0.269+0.539+0.97+0.97+0.97+10.53+0.605+0.485+0.728+0.486</f>
        <v>65.778999999999996</v>
      </c>
      <c r="J97" s="212"/>
      <c r="K97" s="41">
        <f t="shared" si="24"/>
        <v>1.8180000000000001</v>
      </c>
      <c r="L97" s="212">
        <f>0.728+0.485+0.605</f>
        <v>1.8180000000000001</v>
      </c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3333.5099999999998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3169.0249999999996</v>
      </c>
      <c r="I98" s="144">
        <f>I97+I94+I87+I72+I13</f>
        <v>3169.0249999999996</v>
      </c>
      <c r="J98" s="144">
        <f>J97+J94+J87+J72+J13</f>
        <v>0</v>
      </c>
      <c r="K98" s="41">
        <f>L98+M98</f>
        <v>164.48500000000001</v>
      </c>
      <c r="L98" s="218">
        <f t="shared" si="33"/>
        <v>164.48500000000001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77315.217000000004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395.71299999999997</v>
      </c>
      <c r="E100" s="27"/>
      <c r="F100" s="27"/>
      <c r="G100" s="27"/>
      <c r="H100" s="27"/>
      <c r="I100" s="27">
        <f>H97-I97</f>
        <v>0</v>
      </c>
      <c r="J100" s="27">
        <f>I97+E99</f>
        <v>77380.995999999999</v>
      </c>
      <c r="K100" s="27"/>
      <c r="L100" s="27"/>
      <c r="M100" s="27">
        <f>9567.184-K98</f>
        <v>9402.6989999999987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>
        <f>I147</f>
        <v>1502</v>
      </c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>
        <f>I148</f>
        <v>16.584489999999999</v>
      </c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>
        <v>1502</v>
      </c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>
        <v>16.584489999999999</v>
      </c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/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/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206</v>
      </c>
      <c r="B157" s="5"/>
      <c r="C157" s="5"/>
      <c r="D157" s="5"/>
      <c r="E157" s="5"/>
    </row>
    <row r="158" spans="1:24" s="6" customFormat="1">
      <c r="A158" s="1748" t="s">
        <v>207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/>
      <c r="B160" s="5"/>
      <c r="C160" s="5"/>
      <c r="D160" s="5"/>
      <c r="E160" s="5"/>
    </row>
    <row r="163" ht="6" customHeight="1"/>
  </sheetData>
  <mergeCells count="22">
    <mergeCell ref="A7:M7"/>
    <mergeCell ref="T2:X2"/>
    <mergeCell ref="T3:X3"/>
    <mergeCell ref="T4:X4"/>
    <mergeCell ref="T5:X5"/>
    <mergeCell ref="T6:X6"/>
    <mergeCell ref="A158:D158"/>
    <mergeCell ref="A14:A16"/>
    <mergeCell ref="A101:T101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/>
  <dimension ref="A2:IV163"/>
  <sheetViews>
    <sheetView topLeftCell="A43" zoomScale="80" zoomScaleNormal="80" workbookViewId="0">
      <selection activeCell="I139" sqref="I139:I140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188</v>
      </c>
      <c r="U6" s="1755"/>
      <c r="V6" s="1755"/>
      <c r="W6" s="1755"/>
      <c r="X6" s="1755"/>
    </row>
    <row r="7" spans="1:27" ht="53.25" customHeight="1">
      <c r="A7" s="1754" t="s">
        <v>202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3" t="s">
        <v>190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30"/>
      <c r="P8" s="263"/>
      <c r="Q8" s="263"/>
      <c r="R8" s="263"/>
      <c r="S8" s="263"/>
      <c r="T8" s="263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338.34099999999995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328.97499999999997</v>
      </c>
      <c r="I13" s="41">
        <f>I16+I23+I34+I36+I39+I41+I43+I45+I47+I49+I51+I53+I55+I57+I59+I61+I63+I65+I67+I69+I71</f>
        <v>328.97499999999997</v>
      </c>
      <c r="J13" s="41">
        <f>J16+J23+J34+J36+J39+J41+J43+J45+J47+J49+J51+J53+J55+J57+J59+J61+J63+J65+J67+J69+J71</f>
        <v>0</v>
      </c>
      <c r="K13" s="41">
        <f>L13+M13</f>
        <v>9.3659999999999997</v>
      </c>
      <c r="L13" s="41">
        <f>L16+L23+L34+L36+L39+L41+L43+L45+L47+L49+L51+L53+L55+L57+L59+L61+L63+L65+L67+L69+L71</f>
        <v>9.3659999999999997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4</v>
      </c>
      <c r="E14" s="46"/>
      <c r="F14" s="46"/>
      <c r="G14" s="47"/>
      <c r="H14" s="48">
        <f t="shared" ref="H14:H77" si="1">I14+J14</f>
        <v>3</v>
      </c>
      <c r="I14" s="16">
        <v>3</v>
      </c>
      <c r="J14" s="16">
        <v>0</v>
      </c>
      <c r="K14" s="49">
        <f t="shared" ref="K14:K77" si="2">L14+M14</f>
        <v>1</v>
      </c>
      <c r="L14" s="16">
        <v>1</v>
      </c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1.3600000000000001E-2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1.3100000000000001E-2</v>
      </c>
      <c r="I15" s="18">
        <f>I17+I19</f>
        <v>1.3100000000000001E-2</v>
      </c>
      <c r="J15" s="18">
        <f>J17+J19</f>
        <v>0</v>
      </c>
      <c r="K15" s="49">
        <f t="shared" si="2"/>
        <v>5.0000000000000001E-4</v>
      </c>
      <c r="L15" s="18">
        <f>L17+L19</f>
        <v>5.0000000000000001E-4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9.2159999999999993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8.8149999999999995</v>
      </c>
      <c r="I16" s="18">
        <f>I18+I20+I21</f>
        <v>8.8149999999999995</v>
      </c>
      <c r="J16" s="18">
        <f>J18+J20+J21</f>
        <v>0</v>
      </c>
      <c r="K16" s="49">
        <f t="shared" si="2"/>
        <v>0.40100000000000002</v>
      </c>
      <c r="L16" s="18">
        <f>L18+L20+L21</f>
        <v>0.40100000000000002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5.9999999999999995E-4</v>
      </c>
      <c r="E17" s="57">
        <f>F17+G17</f>
        <v>0</v>
      </c>
      <c r="F17" s="62"/>
      <c r="G17" s="63"/>
      <c r="H17" s="48">
        <f t="shared" si="1"/>
        <v>5.9999999999999995E-4</v>
      </c>
      <c r="I17" s="261">
        <v>5.9999999999999995E-4</v>
      </c>
      <c r="J17" s="20">
        <v>0</v>
      </c>
      <c r="K17" s="49">
        <f t="shared" si="2"/>
        <v>0</v>
      </c>
      <c r="L17" s="20"/>
      <c r="M17" s="20"/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0.93600000000000005</v>
      </c>
      <c r="E18" s="57">
        <f>F18+G18</f>
        <v>0</v>
      </c>
      <c r="F18" s="62"/>
      <c r="G18" s="63"/>
      <c r="H18" s="48">
        <f t="shared" si="1"/>
        <v>0.93600000000000005</v>
      </c>
      <c r="I18" s="20">
        <v>0.93600000000000005</v>
      </c>
      <c r="J18" s="20">
        <v>0</v>
      </c>
      <c r="K18" s="49">
        <f t="shared" si="2"/>
        <v>0</v>
      </c>
      <c r="L18" s="20"/>
      <c r="M18" s="20"/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1.3000000000000001E-2</v>
      </c>
      <c r="E19" s="57">
        <f>F19+G19</f>
        <v>0</v>
      </c>
      <c r="F19" s="62"/>
      <c r="G19" s="63"/>
      <c r="H19" s="48">
        <f t="shared" si="1"/>
        <v>1.2500000000000001E-2</v>
      </c>
      <c r="I19" s="28">
        <v>1.2500000000000001E-2</v>
      </c>
      <c r="J19" s="20"/>
      <c r="K19" s="49">
        <v>5.0000000000000001E-4</v>
      </c>
      <c r="L19" s="20">
        <v>5.0000000000000001E-4</v>
      </c>
      <c r="M19" s="20"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8.2799999999999994</v>
      </c>
      <c r="E20" s="72">
        <f>F20+G20</f>
        <v>0</v>
      </c>
      <c r="F20" s="73"/>
      <c r="G20" s="74"/>
      <c r="H20" s="48">
        <f t="shared" si="1"/>
        <v>7.8789999999999996</v>
      </c>
      <c r="I20" s="20">
        <v>7.8789999999999996</v>
      </c>
      <c r="J20" s="20"/>
      <c r="K20" s="49">
        <v>0.40100000000000002</v>
      </c>
      <c r="L20" s="20">
        <v>0.40100000000000002</v>
      </c>
      <c r="M20" s="20"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0</v>
      </c>
      <c r="E22" s="85"/>
      <c r="F22" s="86"/>
      <c r="G22" s="87"/>
      <c r="H22" s="41">
        <f t="shared" si="1"/>
        <v>0</v>
      </c>
      <c r="I22" s="86"/>
      <c r="J22" s="86"/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0</v>
      </c>
      <c r="E23" s="94"/>
      <c r="F23" s="95"/>
      <c r="G23" s="96"/>
      <c r="H23" s="41">
        <f t="shared" si="1"/>
        <v>0</v>
      </c>
      <c r="I23" s="95">
        <f>I25+I27+I29+I31+I32</f>
        <v>0</v>
      </c>
      <c r="J23" s="95">
        <f>J25+J27+J29+J31+J32</f>
        <v>0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0</v>
      </c>
      <c r="E24" s="57"/>
      <c r="F24" s="62"/>
      <c r="G24" s="63"/>
      <c r="H24" s="41">
        <f t="shared" si="1"/>
        <v>0</v>
      </c>
      <c r="I24" s="101"/>
      <c r="J24" s="101"/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0</v>
      </c>
      <c r="E25" s="57"/>
      <c r="F25" s="62"/>
      <c r="G25" s="63"/>
      <c r="H25" s="41">
        <f t="shared" si="1"/>
        <v>0</v>
      </c>
      <c r="I25" s="101"/>
      <c r="J25" s="101"/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0</v>
      </c>
      <c r="E26" s="57"/>
      <c r="F26" s="62"/>
      <c r="G26" s="63"/>
      <c r="H26" s="41">
        <f t="shared" si="1"/>
        <v>0</v>
      </c>
      <c r="I26" s="101"/>
      <c r="J26" s="101"/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0</v>
      </c>
      <c r="E27" s="57"/>
      <c r="F27" s="62"/>
      <c r="G27" s="63"/>
      <c r="H27" s="41">
        <f t="shared" si="1"/>
        <v>0</v>
      </c>
      <c r="I27" s="101"/>
      <c r="J27" s="101"/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/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/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/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/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0</v>
      </c>
      <c r="E32" s="57"/>
      <c r="F32" s="62"/>
      <c r="G32" s="63"/>
      <c r="H32" s="41">
        <f t="shared" si="1"/>
        <v>0</v>
      </c>
      <c r="I32" s="101"/>
      <c r="J32" s="101"/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0.185</v>
      </c>
      <c r="E33" s="57">
        <f t="shared" ref="E33:E39" si="9">F33+G33</f>
        <v>0</v>
      </c>
      <c r="F33" s="62"/>
      <c r="G33" s="63"/>
      <c r="H33" s="41">
        <f t="shared" si="1"/>
        <v>0.17299999999999999</v>
      </c>
      <c r="I33" s="62">
        <f>20/1000+20/1000+20/1000+18/1000+95/1000</f>
        <v>0.17299999999999999</v>
      </c>
      <c r="J33" s="62"/>
      <c r="K33" s="41">
        <f t="shared" si="2"/>
        <v>1.2E-2</v>
      </c>
      <c r="L33" s="62">
        <f>12/1000</f>
        <v>1.2E-2</v>
      </c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106.04900000000001</v>
      </c>
      <c r="E34" s="57">
        <f t="shared" si="9"/>
        <v>0</v>
      </c>
      <c r="F34" s="62"/>
      <c r="G34" s="63"/>
      <c r="H34" s="41">
        <f t="shared" si="1"/>
        <v>99.155000000000001</v>
      </c>
      <c r="I34" s="62">
        <f>14.887+15.813+13.961+11.268+43.226</f>
        <v>99.155000000000001</v>
      </c>
      <c r="J34" s="62"/>
      <c r="K34" s="41">
        <f t="shared" si="2"/>
        <v>6.8940000000000001</v>
      </c>
      <c r="L34" s="62">
        <f>6.894</f>
        <v>6.8940000000000001</v>
      </c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0</v>
      </c>
      <c r="E35" s="57">
        <f t="shared" si="9"/>
        <v>0</v>
      </c>
      <c r="F35" s="62"/>
      <c r="G35" s="63"/>
      <c r="H35" s="41">
        <f t="shared" si="1"/>
        <v>0</v>
      </c>
      <c r="I35" s="62"/>
      <c r="J35" s="62"/>
      <c r="K35" s="41">
        <f t="shared" si="2"/>
        <v>0</v>
      </c>
      <c r="L35" s="62"/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0</v>
      </c>
      <c r="E36" s="57">
        <f t="shared" si="9"/>
        <v>0</v>
      </c>
      <c r="F36" s="62"/>
      <c r="G36" s="63"/>
      <c r="H36" s="41">
        <f t="shared" si="1"/>
        <v>0</v>
      </c>
      <c r="I36" s="62"/>
      <c r="J36" s="62"/>
      <c r="K36" s="41">
        <f t="shared" si="2"/>
        <v>0</v>
      </c>
      <c r="L36" s="62"/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0</v>
      </c>
      <c r="E37" s="57">
        <f t="shared" si="9"/>
        <v>0</v>
      </c>
      <c r="F37" s="62"/>
      <c r="G37" s="63"/>
      <c r="H37" s="41">
        <f t="shared" si="1"/>
        <v>0</v>
      </c>
      <c r="I37" s="62"/>
      <c r="J37" s="62"/>
      <c r="K37" s="41">
        <f t="shared" si="2"/>
        <v>0</v>
      </c>
      <c r="L37" s="62"/>
      <c r="M37" s="62"/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0</v>
      </c>
      <c r="E38" s="57">
        <f t="shared" si="9"/>
        <v>0</v>
      </c>
      <c r="F38" s="62"/>
      <c r="G38" s="63"/>
      <c r="H38" s="41">
        <f t="shared" si="1"/>
        <v>0</v>
      </c>
      <c r="I38" s="62"/>
      <c r="J38" s="62"/>
      <c r="K38" s="41">
        <f t="shared" si="2"/>
        <v>0</v>
      </c>
      <c r="L38" s="62"/>
      <c r="M38" s="62"/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0</v>
      </c>
      <c r="E39" s="72">
        <f t="shared" si="9"/>
        <v>0</v>
      </c>
      <c r="F39" s="73"/>
      <c r="G39" s="74"/>
      <c r="H39" s="41">
        <f t="shared" si="1"/>
        <v>0</v>
      </c>
      <c r="I39" s="62"/>
      <c r="J39" s="62"/>
      <c r="K39" s="41">
        <f t="shared" si="2"/>
        <v>0</v>
      </c>
      <c r="L39" s="62"/>
      <c r="M39" s="62"/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</v>
      </c>
      <c r="E40" s="123"/>
      <c r="F40" s="133"/>
      <c r="G40" s="134"/>
      <c r="H40" s="41">
        <f t="shared" si="1"/>
        <v>0</v>
      </c>
      <c r="I40" s="135"/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0</v>
      </c>
      <c r="E41" s="121"/>
      <c r="F41" s="141"/>
      <c r="G41" s="142"/>
      <c r="H41" s="41">
        <f t="shared" si="1"/>
        <v>0</v>
      </c>
      <c r="I41" s="62"/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5.6000000000000001E-2</v>
      </c>
      <c r="E42" s="123"/>
      <c r="F42" s="133"/>
      <c r="G42" s="134"/>
      <c r="H42" s="41">
        <f t="shared" si="1"/>
        <v>5.6000000000000001E-2</v>
      </c>
      <c r="I42" s="62">
        <f>56/1000</f>
        <v>5.6000000000000001E-2</v>
      </c>
      <c r="J42" s="62"/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86.460999999999999</v>
      </c>
      <c r="E43" s="121"/>
      <c r="F43" s="141"/>
      <c r="G43" s="142"/>
      <c r="H43" s="41">
        <f t="shared" si="1"/>
        <v>86.460999999999999</v>
      </c>
      <c r="I43" s="62">
        <v>86.460999999999999</v>
      </c>
      <c r="J43" s="62"/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4</v>
      </c>
      <c r="E44" s="57">
        <f t="shared" ref="E44:E59" si="11">F44+G44</f>
        <v>0</v>
      </c>
      <c r="F44" s="62"/>
      <c r="G44" s="63"/>
      <c r="H44" s="41">
        <f t="shared" si="1"/>
        <v>4</v>
      </c>
      <c r="I44" s="62">
        <f>2+1+1</f>
        <v>4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5.4249999999999998</v>
      </c>
      <c r="E45" s="57">
        <f t="shared" si="11"/>
        <v>0</v>
      </c>
      <c r="F45" s="62"/>
      <c r="G45" s="63"/>
      <c r="H45" s="41">
        <f t="shared" si="1"/>
        <v>5.4249999999999998</v>
      </c>
      <c r="I45" s="62">
        <f>2.819+1.172+1.434</f>
        <v>5.4249999999999998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/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/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0</v>
      </c>
      <c r="E48" s="57">
        <f t="shared" si="11"/>
        <v>0</v>
      </c>
      <c r="F48" s="62"/>
      <c r="G48" s="63"/>
      <c r="H48" s="41">
        <f t="shared" si="1"/>
        <v>0</v>
      </c>
      <c r="I48" s="62"/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0</v>
      </c>
      <c r="E49" s="57">
        <f t="shared" si="11"/>
        <v>0</v>
      </c>
      <c r="F49" s="62"/>
      <c r="G49" s="63"/>
      <c r="H49" s="41">
        <f t="shared" si="1"/>
        <v>0</v>
      </c>
      <c r="I49" s="62"/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1</v>
      </c>
      <c r="E50" s="57">
        <f t="shared" si="11"/>
        <v>0</v>
      </c>
      <c r="F50" s="62"/>
      <c r="G50" s="63"/>
      <c r="H50" s="41">
        <f t="shared" si="1"/>
        <v>1</v>
      </c>
      <c r="I50" s="62">
        <v>1</v>
      </c>
      <c r="J50" s="62"/>
      <c r="K50" s="41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3.5449999999999999</v>
      </c>
      <c r="E51" s="57">
        <f t="shared" si="11"/>
        <v>0</v>
      </c>
      <c r="F51" s="62"/>
      <c r="G51" s="63"/>
      <c r="H51" s="41">
        <f t="shared" si="1"/>
        <v>3.5449999999999999</v>
      </c>
      <c r="I51" s="62">
        <v>3.5449999999999999</v>
      </c>
      <c r="J51" s="62"/>
      <c r="K51" s="41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7</v>
      </c>
      <c r="E52" s="57">
        <f t="shared" si="11"/>
        <v>0</v>
      </c>
      <c r="F52" s="62"/>
      <c r="G52" s="63"/>
      <c r="H52" s="41">
        <f t="shared" si="1"/>
        <v>6</v>
      </c>
      <c r="I52" s="62">
        <f>1+1+1+1+1+1</f>
        <v>6</v>
      </c>
      <c r="J52" s="62"/>
      <c r="K52" s="41">
        <f t="shared" si="2"/>
        <v>1</v>
      </c>
      <c r="L52" s="62">
        <v>1</v>
      </c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70.883999999999986</v>
      </c>
      <c r="E53" s="57">
        <f t="shared" si="11"/>
        <v>0</v>
      </c>
      <c r="F53" s="62"/>
      <c r="G53" s="63"/>
      <c r="H53" s="41">
        <f t="shared" si="1"/>
        <v>68.812999999999988</v>
      </c>
      <c r="I53" s="62">
        <f>5.199+1.47+14.992+1.657+39.181+6.314</f>
        <v>68.812999999999988</v>
      </c>
      <c r="J53" s="62"/>
      <c r="K53" s="41">
        <f t="shared" si="2"/>
        <v>2.0710000000000002</v>
      </c>
      <c r="L53" s="62">
        <v>2.0710000000000002</v>
      </c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8</v>
      </c>
      <c r="E54" s="57">
        <f t="shared" si="11"/>
        <v>0</v>
      </c>
      <c r="F54" s="62"/>
      <c r="G54" s="63"/>
      <c r="H54" s="41">
        <f t="shared" si="1"/>
        <v>8</v>
      </c>
      <c r="I54" s="62">
        <v>8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2.5939999999999999</v>
      </c>
      <c r="E55" s="57">
        <f t="shared" si="11"/>
        <v>0</v>
      </c>
      <c r="F55" s="62"/>
      <c r="G55" s="63"/>
      <c r="H55" s="41">
        <f t="shared" si="1"/>
        <v>2.5939999999999999</v>
      </c>
      <c r="I55" s="62">
        <v>2.5939999999999999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5.8599999999999999E-2</v>
      </c>
      <c r="E56" s="57">
        <f t="shared" si="11"/>
        <v>0</v>
      </c>
      <c r="F56" s="62"/>
      <c r="G56" s="63"/>
      <c r="H56" s="41">
        <f t="shared" si="1"/>
        <v>5.8599999999999999E-2</v>
      </c>
      <c r="I56" s="62">
        <v>5.8599999999999999E-2</v>
      </c>
      <c r="J56" s="62"/>
      <c r="K56" s="41">
        <f t="shared" si="2"/>
        <v>0</v>
      </c>
      <c r="L56" s="62"/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50.136000000000003</v>
      </c>
      <c r="E57" s="57">
        <f t="shared" si="11"/>
        <v>0</v>
      </c>
      <c r="F57" s="62"/>
      <c r="G57" s="63"/>
      <c r="H57" s="41">
        <f t="shared" si="1"/>
        <v>50.136000000000003</v>
      </c>
      <c r="I57" s="62">
        <v>50.136000000000003</v>
      </c>
      <c r="J57" s="62"/>
      <c r="K57" s="41">
        <f t="shared" si="2"/>
        <v>0</v>
      </c>
      <c r="L57" s="62"/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0</v>
      </c>
      <c r="E58" s="57">
        <f t="shared" si="11"/>
        <v>0</v>
      </c>
      <c r="F58" s="62"/>
      <c r="G58" s="63"/>
      <c r="H58" s="41">
        <f t="shared" si="1"/>
        <v>0</v>
      </c>
      <c r="I58" s="62"/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0</v>
      </c>
      <c r="E59" s="72">
        <f t="shared" si="11"/>
        <v>0</v>
      </c>
      <c r="F59" s="73"/>
      <c r="G59" s="74"/>
      <c r="H59" s="41">
        <f t="shared" si="1"/>
        <v>0</v>
      </c>
      <c r="I59" s="62"/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4</v>
      </c>
      <c r="E66" s="158"/>
      <c r="F66" s="159"/>
      <c r="G66" s="160"/>
      <c r="H66" s="41">
        <f t="shared" si="1"/>
        <v>4</v>
      </c>
      <c r="I66" s="62">
        <f>4</f>
        <v>4</v>
      </c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4.0309999999999997</v>
      </c>
      <c r="E67" s="166"/>
      <c r="F67" s="167"/>
      <c r="G67" s="168"/>
      <c r="H67" s="41">
        <f t="shared" si="1"/>
        <v>4.0309999999999997</v>
      </c>
      <c r="I67" s="62">
        <v>4.0309999999999997</v>
      </c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0</v>
      </c>
      <c r="E70" s="158"/>
      <c r="F70" s="159"/>
      <c r="G70" s="160"/>
      <c r="H70" s="41">
        <f t="shared" si="1"/>
        <v>0</v>
      </c>
      <c r="I70" s="62"/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0</v>
      </c>
      <c r="E71" s="166"/>
      <c r="F71" s="167"/>
      <c r="G71" s="168"/>
      <c r="H71" s="41">
        <f t="shared" si="1"/>
        <v>0</v>
      </c>
      <c r="I71" s="62"/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962.79849999999999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873.01599999999996</v>
      </c>
      <c r="I72" s="178">
        <f>I74+I84+I86</f>
        <v>873.01599999999996</v>
      </c>
      <c r="J72" s="178">
        <f>J74+J84+J86</f>
        <v>0</v>
      </c>
      <c r="K72" s="41">
        <f t="shared" si="2"/>
        <v>89.782499999999999</v>
      </c>
      <c r="L72" s="179">
        <f t="shared" si="13"/>
        <v>89.782499999999999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0.7488499999999999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0.68614999999999993</v>
      </c>
      <c r="I73" s="18">
        <f t="shared" si="14"/>
        <v>0.68614999999999993</v>
      </c>
      <c r="J73" s="18">
        <f t="shared" si="14"/>
        <v>0</v>
      </c>
      <c r="K73" s="49">
        <f t="shared" si="2"/>
        <v>6.2700000000000006E-2</v>
      </c>
      <c r="L73" s="18">
        <f t="shared" si="14"/>
        <v>6.2700000000000006E-2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674.08949999999982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611.76099999999985</v>
      </c>
      <c r="I74" s="18">
        <f>I76+I78+I80+I82</f>
        <v>611.76099999999985</v>
      </c>
      <c r="J74" s="18">
        <f>J76+J78+J80+J82</f>
        <v>0</v>
      </c>
      <c r="K74" s="49">
        <f t="shared" si="2"/>
        <v>62.328499999999998</v>
      </c>
      <c r="L74" s="18">
        <f>L76+L78+L80+L82</f>
        <v>62.328499999999998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5.1000000000000004E-3</v>
      </c>
      <c r="E75" s="57">
        <f t="shared" ref="E75:E86" si="16">F75+G75</f>
        <v>0</v>
      </c>
      <c r="F75" s="62"/>
      <c r="G75" s="62"/>
      <c r="H75" s="48">
        <f t="shared" si="1"/>
        <v>5.1000000000000004E-3</v>
      </c>
      <c r="I75" s="20">
        <f>3.1/1000+2/1000</f>
        <v>5.1000000000000004E-3</v>
      </c>
      <c r="J75" s="258"/>
      <c r="K75" s="49">
        <f t="shared" si="2"/>
        <v>0</v>
      </c>
      <c r="L75" s="20"/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4.3340000000000005</v>
      </c>
      <c r="E76" s="57">
        <f t="shared" si="16"/>
        <v>0</v>
      </c>
      <c r="F76" s="62"/>
      <c r="G76" s="62"/>
      <c r="H76" s="48">
        <f t="shared" si="1"/>
        <v>4.3340000000000005</v>
      </c>
      <c r="I76" s="20">
        <f>2.886+0.405+1.043</f>
        <v>4.3340000000000005</v>
      </c>
      <c r="J76" s="258"/>
      <c r="K76" s="49">
        <f t="shared" si="2"/>
        <v>0</v>
      </c>
      <c r="L76" s="20"/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0.37029999999999996</v>
      </c>
      <c r="E77" s="57">
        <f t="shared" si="16"/>
        <v>0</v>
      </c>
      <c r="F77" s="62"/>
      <c r="G77" s="62"/>
      <c r="H77" s="48">
        <f t="shared" si="1"/>
        <v>0.33779999999999999</v>
      </c>
      <c r="I77" s="20">
        <f>(1.5+3+5+12+23+4.2+7.2+7.2+8.8+4.2+4.2+1.5+1.5+10.2+69.8+50+20+2.5+14+12+2.5+1+16+4+3+8+6+26+6+3.5)/1000</f>
        <v>0.33779999999999999</v>
      </c>
      <c r="J77" s="258"/>
      <c r="K77" s="49">
        <f t="shared" si="2"/>
        <v>3.2500000000000001E-2</v>
      </c>
      <c r="L77" s="20">
        <f>9/1000+14/1000+3.5/1000+6/1000</f>
        <v>3.2500000000000001E-2</v>
      </c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310.42199999999997</v>
      </c>
      <c r="E78" s="57">
        <f t="shared" si="16"/>
        <v>0</v>
      </c>
      <c r="F78" s="62"/>
      <c r="G78" s="62"/>
      <c r="H78" s="48">
        <f t="shared" ref="H78:H97" si="23">I78+J78</f>
        <v>288.75699999999995</v>
      </c>
      <c r="I78" s="20">
        <f>0.935+3.469+3.145+23.867+8.944+8.081+0.45+6.177+1.067+1.224+132.822+23.372+21.442+2.053+8.577+7.224+2.255+5.765+4.635+16.111+4.511+2.631</f>
        <v>288.75699999999995</v>
      </c>
      <c r="J78" s="259"/>
      <c r="K78" s="49">
        <f t="shared" ref="K78:K97" si="24">L78+M78</f>
        <v>21.664999999999999</v>
      </c>
      <c r="L78" s="185">
        <f>14.651+2.503+4.511</f>
        <v>21.664999999999999</v>
      </c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0.27479999999999988</v>
      </c>
      <c r="E79" s="57">
        <f t="shared" si="16"/>
        <v>0</v>
      </c>
      <c r="F79" s="62"/>
      <c r="G79" s="62"/>
      <c r="H79" s="48">
        <f t="shared" si="23"/>
        <v>0.26259999999999989</v>
      </c>
      <c r="I79" s="20">
        <f>(4+2+0.5+10.2+2+1+1+10+2+30+4.1+16.4+4.2+10.6+3.1+4+14+20.4+9.2+4+1.1+3.8+1.1+1.6+11+5.2+1+12+1.5+5+20.6+4+4+7+3+18+1.5+1.5+2+5)/1000</f>
        <v>0.26259999999999989</v>
      </c>
      <c r="J79" s="20"/>
      <c r="K79" s="49">
        <f t="shared" si="24"/>
        <v>1.2200000000000001E-2</v>
      </c>
      <c r="L79" s="20">
        <f>2/1000+5.2/1000+3/1000+2/1000</f>
        <v>1.2200000000000001E-2</v>
      </c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248.48099999999997</v>
      </c>
      <c r="E80" s="57">
        <f t="shared" si="16"/>
        <v>0</v>
      </c>
      <c r="F80" s="62"/>
      <c r="G80" s="62"/>
      <c r="H80" s="48">
        <f t="shared" si="23"/>
        <v>239.35599999999997</v>
      </c>
      <c r="I80" s="20">
        <f>3.508+0.4+1.499+0.687+11.491+1.083+0.953+0.957+9.932+1.074+31.494+3.554+1.204+1.578+13.457+4.371+2.867+2.414+51.675+0.497+1.092+6.096+3.718+1.776+0.956+2.801+6.765+1.338+6.807+4.273+1.055+8.243+0.986+2.972+14.52+2.349+2.398+6.774+10.437+2.635+0.999+1.292+4.379</f>
        <v>239.35599999999997</v>
      </c>
      <c r="J80" s="259"/>
      <c r="K80" s="49">
        <f t="shared" si="24"/>
        <v>9.125</v>
      </c>
      <c r="L80" s="20">
        <f>1.6+3.987+2.328+1.21</f>
        <v>9.125</v>
      </c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9.8650000000000015E-2</v>
      </c>
      <c r="E81" s="57">
        <f t="shared" si="16"/>
        <v>0</v>
      </c>
      <c r="F81" s="62"/>
      <c r="G81" s="62"/>
      <c r="H81" s="48">
        <f t="shared" si="23"/>
        <v>8.0650000000000013E-2</v>
      </c>
      <c r="I81" s="20">
        <f>4/1000+4.25/1000+0.7/1000+6.1/1000+1/1000+0.4/1000+6.2/1000+0.4/1000+20.5/1000+16/1000+6.85/1000+3/1000+5/1000+2/1000+0.25/1000+4/1000</f>
        <v>8.0650000000000013E-2</v>
      </c>
      <c r="J81" s="20"/>
      <c r="K81" s="49">
        <f t="shared" si="24"/>
        <v>1.8000000000000002E-2</v>
      </c>
      <c r="L81" s="20">
        <f>4/1000+4/1000+2/1000+8/1000</f>
        <v>1.8000000000000002E-2</v>
      </c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110.85249999999999</v>
      </c>
      <c r="E82" s="57">
        <f t="shared" si="16"/>
        <v>0</v>
      </c>
      <c r="F82" s="62"/>
      <c r="G82" s="62"/>
      <c r="H82" s="48">
        <f t="shared" si="23"/>
        <v>79.313999999999993</v>
      </c>
      <c r="I82" s="20">
        <f>6.273+6.794+0.457+3.988+0.484+0.496+4.013+0.241+15.869+11.727+4.781+4.636+9.69+3.106+0.513+6.246</f>
        <v>79.313999999999993</v>
      </c>
      <c r="J82" s="20"/>
      <c r="K82" s="49">
        <f t="shared" si="24"/>
        <v>31.538499999999999</v>
      </c>
      <c r="L82" s="20">
        <f>7.029+6.273+3.3335+12.893+2.01</f>
        <v>31.538499999999999</v>
      </c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28</v>
      </c>
      <c r="E83" s="57">
        <f t="shared" si="16"/>
        <v>0</v>
      </c>
      <c r="F83" s="62"/>
      <c r="G83" s="62"/>
      <c r="H83" s="48">
        <f t="shared" si="23"/>
        <v>24</v>
      </c>
      <c r="I83" s="20">
        <f>1+1+1+1+1+1+1+2+2+1+2+1+1+6+1+1</f>
        <v>24</v>
      </c>
      <c r="J83" s="20"/>
      <c r="K83" s="49">
        <f t="shared" si="24"/>
        <v>4</v>
      </c>
      <c r="L83" s="20">
        <f>1+2+1</f>
        <v>4</v>
      </c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184.79200000000003</v>
      </c>
      <c r="E84" s="57">
        <f t="shared" si="16"/>
        <v>0</v>
      </c>
      <c r="F84" s="62"/>
      <c r="G84" s="62"/>
      <c r="H84" s="48">
        <f t="shared" si="23"/>
        <v>158.59400000000002</v>
      </c>
      <c r="I84" s="20">
        <f>7.93+7.167+6.416+4.519+7.93+6.856+7.416+14.834+15.6+7.049+14.849+6.334+4.982+33.19+6.377+7.145</f>
        <v>158.59400000000002</v>
      </c>
      <c r="J84" s="20"/>
      <c r="K84" s="49">
        <f t="shared" si="24"/>
        <v>26.197999999999997</v>
      </c>
      <c r="L84" s="20">
        <f>6.298+13.523+6.377</f>
        <v>26.197999999999997</v>
      </c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84</v>
      </c>
      <c r="E85" s="57">
        <f t="shared" si="16"/>
        <v>0</v>
      </c>
      <c r="F85" s="62"/>
      <c r="G85" s="62"/>
      <c r="H85" s="48">
        <f t="shared" si="23"/>
        <v>82</v>
      </c>
      <c r="I85" s="20">
        <f>3+2+1+1+3+2+1+2+1+1+2+4+2+1+2+11+4+3+4+2+7+3+6+2+2+10</f>
        <v>82</v>
      </c>
      <c r="J85" s="20"/>
      <c r="K85" s="49">
        <f t="shared" si="24"/>
        <v>2</v>
      </c>
      <c r="L85" s="20">
        <v>2</v>
      </c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103.91700000000002</v>
      </c>
      <c r="E86" s="57">
        <f t="shared" si="16"/>
        <v>0</v>
      </c>
      <c r="F86" s="62"/>
      <c r="G86" s="62"/>
      <c r="H86" s="48">
        <f t="shared" si="23"/>
        <v>102.66100000000002</v>
      </c>
      <c r="I86" s="20">
        <f>2.745+23.191+0.686+3.285+2.174+0.686+1.279+1.116+7.118+1.279+6.466+3.567+7.8+1.256+5.756+2.458+2.066+3.67+13.185+2.074+2.233+1.204+7.367</f>
        <v>102.66100000000002</v>
      </c>
      <c r="J86" s="20"/>
      <c r="K86" s="49">
        <f t="shared" si="24"/>
        <v>1.256</v>
      </c>
      <c r="L86" s="20">
        <v>1.256</v>
      </c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30.045999999999996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28.883999999999997</v>
      </c>
      <c r="I87" s="195">
        <f t="shared" si="25"/>
        <v>28.883999999999997</v>
      </c>
      <c r="J87" s="195">
        <f t="shared" si="25"/>
        <v>0</v>
      </c>
      <c r="K87" s="41">
        <f t="shared" si="24"/>
        <v>1.1619999999999999</v>
      </c>
      <c r="L87" s="195">
        <f t="shared" si="25"/>
        <v>1.1619999999999999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1.4999999999999999E-2</v>
      </c>
      <c r="E88" s="57">
        <f>F88+G88</f>
        <v>0</v>
      </c>
      <c r="F88" s="62"/>
      <c r="G88" s="62"/>
      <c r="H88" s="41">
        <f t="shared" si="23"/>
        <v>1.4999999999999999E-2</v>
      </c>
      <c r="I88" s="196">
        <f>15/1000</f>
        <v>1.4999999999999999E-2</v>
      </c>
      <c r="J88" s="197"/>
      <c r="K88" s="41">
        <f t="shared" si="24"/>
        <v>0</v>
      </c>
      <c r="L88" s="62"/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2.5379999999999998</v>
      </c>
      <c r="E89" s="57">
        <f>F89+G89</f>
        <v>0</v>
      </c>
      <c r="F89" s="62"/>
      <c r="G89" s="62"/>
      <c r="H89" s="41">
        <f t="shared" si="23"/>
        <v>2.5379999999999998</v>
      </c>
      <c r="I89" s="196">
        <f>2.538</f>
        <v>2.5379999999999998</v>
      </c>
      <c r="J89" s="197"/>
      <c r="K89" s="41">
        <f t="shared" si="24"/>
        <v>0</v>
      </c>
      <c r="L89" s="62"/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32</v>
      </c>
      <c r="E90" s="57">
        <v>0</v>
      </c>
      <c r="F90" s="62"/>
      <c r="G90" s="62"/>
      <c r="H90" s="41">
        <f>I90+J91</f>
        <v>30</v>
      </c>
      <c r="I90" s="196">
        <f>2+1+2+4+1+1+6+2+3+1+1+2+1+1+2</f>
        <v>30</v>
      </c>
      <c r="K90" s="41">
        <f t="shared" si="24"/>
        <v>2</v>
      </c>
      <c r="L90" s="62">
        <f>1+1</f>
        <v>2</v>
      </c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27.507999999999996</v>
      </c>
      <c r="E91" s="57">
        <f>F91+G91</f>
        <v>0</v>
      </c>
      <c r="F91" s="62"/>
      <c r="G91" s="62"/>
      <c r="H91" s="41">
        <f t="shared" ref="H91:H93" si="31">I91+J92</f>
        <v>26.345999999999997</v>
      </c>
      <c r="I91" s="196">
        <f>1.167+3.326+1.162+2.321+0.581+0.786+9.042+3.015+0.322+0.169+1.507+1.572+0.107+0.107+1.162</f>
        <v>26.345999999999997</v>
      </c>
      <c r="J91" s="197"/>
      <c r="K91" s="41">
        <f t="shared" si="24"/>
        <v>1.1619999999999999</v>
      </c>
      <c r="L91" s="62">
        <f>0.581+0.581</f>
        <v>1.1619999999999999</v>
      </c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0</v>
      </c>
      <c r="E92" s="57">
        <f>F92+G92</f>
        <v>0</v>
      </c>
      <c r="F92" s="62"/>
      <c r="G92" s="62"/>
      <c r="H92" s="41">
        <f t="shared" si="31"/>
        <v>0</v>
      </c>
      <c r="I92" s="196"/>
      <c r="J92" s="197"/>
      <c r="K92" s="41">
        <f t="shared" si="24"/>
        <v>0</v>
      </c>
      <c r="L92" s="62"/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0</v>
      </c>
      <c r="E93" s="57">
        <f>F93+G93</f>
        <v>0</v>
      </c>
      <c r="F93" s="62"/>
      <c r="G93" s="62"/>
      <c r="H93" s="41">
        <f t="shared" si="31"/>
        <v>0</v>
      </c>
      <c r="I93" s="196"/>
      <c r="J93" s="197"/>
      <c r="K93" s="41">
        <f t="shared" si="24"/>
        <v>0</v>
      </c>
      <c r="L93" s="62"/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0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0</v>
      </c>
      <c r="I94" s="205">
        <f t="shared" si="32"/>
        <v>0</v>
      </c>
      <c r="J94" s="205">
        <f t="shared" si="32"/>
        <v>0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0</v>
      </c>
      <c r="E95" s="57">
        <f>F95+G95</f>
        <v>0</v>
      </c>
      <c r="F95" s="62"/>
      <c r="G95" s="62"/>
      <c r="H95" s="41">
        <f t="shared" si="23"/>
        <v>0</v>
      </c>
      <c r="I95" s="62"/>
      <c r="J95" s="62"/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181.15799999999999</v>
      </c>
      <c r="E97" s="211">
        <f>F97+G97</f>
        <v>0</v>
      </c>
      <c r="F97" s="212"/>
      <c r="G97" s="212"/>
      <c r="H97" s="41">
        <f t="shared" si="23"/>
        <v>181.15799999999999</v>
      </c>
      <c r="I97" s="212">
        <f>8.081+142.74+29.011+1.326</f>
        <v>181.15799999999999</v>
      </c>
      <c r="J97" s="212"/>
      <c r="K97" s="41">
        <f t="shared" si="24"/>
        <v>0</v>
      </c>
      <c r="L97" s="212"/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1512.3434999999999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1412.0329999999999</v>
      </c>
      <c r="I98" s="144">
        <f>I97+I94+I87+I72+I13</f>
        <v>1412.0329999999999</v>
      </c>
      <c r="J98" s="144">
        <f>J97+J94+J87+J72+J13</f>
        <v>0</v>
      </c>
      <c r="K98" s="41">
        <f>L98+M98</f>
        <v>100.3105</v>
      </c>
      <c r="L98" s="218">
        <f t="shared" si="33"/>
        <v>100.3105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79136.383499999996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3.5449999999999999</v>
      </c>
      <c r="E100" s="27"/>
      <c r="F100" s="27"/>
      <c r="G100" s="27"/>
      <c r="H100" s="27"/>
      <c r="I100" s="27">
        <f>H97-I97</f>
        <v>0</v>
      </c>
      <c r="J100" s="27">
        <f>I97+E99</f>
        <v>79317.541499999992</v>
      </c>
      <c r="K100" s="27"/>
      <c r="L100" s="27"/>
      <c r="M100" s="27">
        <f>9567.184-K98</f>
        <v>9466.8734999999997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>
        <f>I147</f>
        <v>1800</v>
      </c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>
        <f>I148</f>
        <v>17.585999999999999</v>
      </c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>
        <v>1800</v>
      </c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>
        <f>9.77/1000*I147</f>
        <v>17.585999999999999</v>
      </c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/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/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203</v>
      </c>
      <c r="B157" s="5"/>
      <c r="C157" s="5"/>
      <c r="D157" s="5"/>
      <c r="E157" s="5"/>
    </row>
    <row r="158" spans="1:24" s="6" customFormat="1">
      <c r="A158" s="7"/>
    </row>
    <row r="159" spans="1:24" s="6" customFormat="1">
      <c r="A159" s="7"/>
    </row>
    <row r="160" spans="1:24" s="6" customFormat="1">
      <c r="A160" s="5"/>
      <c r="B160" s="5"/>
      <c r="C160" s="5"/>
      <c r="D160" s="5"/>
      <c r="E160" s="5"/>
    </row>
    <row r="163" ht="6" customHeight="1"/>
  </sheetData>
  <mergeCells count="21">
    <mergeCell ref="A7:M7"/>
    <mergeCell ref="T2:X2"/>
    <mergeCell ref="T3:X3"/>
    <mergeCell ref="T4:X4"/>
    <mergeCell ref="T5:X5"/>
    <mergeCell ref="T6:X6"/>
    <mergeCell ref="A14:A16"/>
    <mergeCell ref="A101:T101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"/>
  <dimension ref="A2:IV163"/>
  <sheetViews>
    <sheetView topLeftCell="A44" zoomScale="80" zoomScaleNormal="80" workbookViewId="0">
      <selection activeCell="I139" sqref="I139:I140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188</v>
      </c>
      <c r="U6" s="1755"/>
      <c r="V6" s="1755"/>
      <c r="W6" s="1755"/>
      <c r="X6" s="1755"/>
    </row>
    <row r="7" spans="1:27" ht="53.25" customHeight="1">
      <c r="A7" s="1754" t="s">
        <v>200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0" t="s">
        <v>190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30"/>
      <c r="P8" s="260"/>
      <c r="Q8" s="260"/>
      <c r="R8" s="260"/>
      <c r="S8" s="260"/>
      <c r="T8" s="260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365.68799999999999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365.68799999999999</v>
      </c>
      <c r="I13" s="41">
        <f>I16+I23+I34+I36+I39+I41+I43+I45+I47+I49+I51+I53+I55+I57+I59+I61+I63+I65+I67+I69+I71</f>
        <v>241.47600000000003</v>
      </c>
      <c r="J13" s="41">
        <f>J16+J23+J34+J36+J39+J41+J43+J45+J47+J49+J51+J53+J55+J57+J59+J61+J63+J65+J67+J69+J71</f>
        <v>124.21199999999999</v>
      </c>
      <c r="K13" s="41">
        <f>L13+M13</f>
        <v>0</v>
      </c>
      <c r="L13" s="41">
        <f>L16+L23+L34+L36+L39+L41+L43+L45+L47+L49+L51+L53+L55+L57+L59+L61+L63+L65+L67+L69+L71</f>
        <v>0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3</v>
      </c>
      <c r="E14" s="46"/>
      <c r="F14" s="46"/>
      <c r="G14" s="47"/>
      <c r="H14" s="48">
        <f t="shared" ref="H14:H77" si="1">I14+J14</f>
        <v>3</v>
      </c>
      <c r="I14" s="16">
        <v>3</v>
      </c>
      <c r="J14" s="16">
        <v>0</v>
      </c>
      <c r="K14" s="49">
        <f t="shared" ref="K14:K77" si="2">L14+M14</f>
        <v>0</v>
      </c>
      <c r="L14" s="16"/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4.1000000000000003E-3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4.1000000000000003E-3</v>
      </c>
      <c r="I15" s="18">
        <f>I17+I19</f>
        <v>4.1000000000000003E-3</v>
      </c>
      <c r="J15" s="18">
        <f>J17+J19</f>
        <v>0</v>
      </c>
      <c r="K15" s="49">
        <f t="shared" si="2"/>
        <v>0</v>
      </c>
      <c r="L15" s="18">
        <f>L17+L19</f>
        <v>0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2.472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2.472</v>
      </c>
      <c r="I16" s="18">
        <f>I18+I20+I21</f>
        <v>2.472</v>
      </c>
      <c r="J16" s="18">
        <f>J18+J20+J21</f>
        <v>0</v>
      </c>
      <c r="K16" s="49">
        <f t="shared" si="2"/>
        <v>0</v>
      </c>
      <c r="L16" s="18">
        <f>L18+L20+L21</f>
        <v>0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1E-4</v>
      </c>
      <c r="E17" s="57">
        <f>F17+G17</f>
        <v>0</v>
      </c>
      <c r="F17" s="62"/>
      <c r="G17" s="63"/>
      <c r="H17" s="48">
        <f t="shared" si="1"/>
        <v>1E-4</v>
      </c>
      <c r="I17" s="261">
        <v>1E-4</v>
      </c>
      <c r="J17" s="20">
        <v>0</v>
      </c>
      <c r="K17" s="49">
        <f t="shared" si="2"/>
        <v>0</v>
      </c>
      <c r="L17" s="20"/>
      <c r="M17" s="20"/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0.95799999999999996</v>
      </c>
      <c r="E18" s="57">
        <f>F18+G18</f>
        <v>0</v>
      </c>
      <c r="F18" s="62"/>
      <c r="G18" s="63"/>
      <c r="H18" s="48">
        <f t="shared" si="1"/>
        <v>0.95799999999999996</v>
      </c>
      <c r="I18" s="20">
        <v>0.95799999999999996</v>
      </c>
      <c r="J18" s="20">
        <v>0</v>
      </c>
      <c r="K18" s="49">
        <f t="shared" si="2"/>
        <v>0</v>
      </c>
      <c r="L18" s="20"/>
      <c r="M18" s="20"/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4.0000000000000001E-3</v>
      </c>
      <c r="E19" s="57">
        <f>F19+G19</f>
        <v>0</v>
      </c>
      <c r="F19" s="62"/>
      <c r="G19" s="63"/>
      <c r="H19" s="48">
        <f t="shared" si="1"/>
        <v>4.0000000000000001E-3</v>
      </c>
      <c r="I19" s="28">
        <v>4.0000000000000001E-3</v>
      </c>
      <c r="J19" s="20"/>
      <c r="K19" s="49">
        <f t="shared" si="2"/>
        <v>0</v>
      </c>
      <c r="L19" s="20"/>
      <c r="M19" s="20"/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1.514</v>
      </c>
      <c r="E20" s="72">
        <f>F20+G20</f>
        <v>0</v>
      </c>
      <c r="F20" s="73"/>
      <c r="G20" s="74"/>
      <c r="H20" s="48">
        <f t="shared" si="1"/>
        <v>1.514</v>
      </c>
      <c r="I20" s="20">
        <v>1.514</v>
      </c>
      <c r="J20" s="20"/>
      <c r="K20" s="49">
        <f t="shared" si="2"/>
        <v>0</v>
      </c>
      <c r="L20" s="20"/>
      <c r="M20" s="20"/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0</v>
      </c>
      <c r="E22" s="85"/>
      <c r="F22" s="86"/>
      <c r="G22" s="87"/>
      <c r="H22" s="41">
        <f t="shared" si="1"/>
        <v>0</v>
      </c>
      <c r="I22" s="86"/>
      <c r="J22" s="86"/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0</v>
      </c>
      <c r="E23" s="94"/>
      <c r="F23" s="95"/>
      <c r="G23" s="96"/>
      <c r="H23" s="41">
        <f t="shared" si="1"/>
        <v>0</v>
      </c>
      <c r="I23" s="95">
        <f>I25+I27+I29+I31+I32</f>
        <v>0</v>
      </c>
      <c r="J23" s="95">
        <f>J25+J27+J29+J31+J32</f>
        <v>0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0</v>
      </c>
      <c r="E24" s="57"/>
      <c r="F24" s="62"/>
      <c r="G24" s="63"/>
      <c r="H24" s="41">
        <f t="shared" si="1"/>
        <v>0</v>
      </c>
      <c r="I24" s="101"/>
      <c r="J24" s="101"/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0</v>
      </c>
      <c r="E25" s="57"/>
      <c r="F25" s="62"/>
      <c r="G25" s="63"/>
      <c r="H25" s="41">
        <f t="shared" si="1"/>
        <v>0</v>
      </c>
      <c r="I25" s="101"/>
      <c r="J25" s="101"/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0</v>
      </c>
      <c r="E26" s="57"/>
      <c r="F26" s="62"/>
      <c r="G26" s="63"/>
      <c r="H26" s="41">
        <f t="shared" si="1"/>
        <v>0</v>
      </c>
      <c r="I26" s="101"/>
      <c r="J26" s="101"/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0</v>
      </c>
      <c r="E27" s="57"/>
      <c r="F27" s="62"/>
      <c r="G27" s="63"/>
      <c r="H27" s="41">
        <f t="shared" si="1"/>
        <v>0</v>
      </c>
      <c r="I27" s="101"/>
      <c r="J27" s="101"/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/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/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/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/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0</v>
      </c>
      <c r="E32" s="57"/>
      <c r="F32" s="62"/>
      <c r="G32" s="63"/>
      <c r="H32" s="41">
        <f t="shared" si="1"/>
        <v>0</v>
      </c>
      <c r="I32" s="101"/>
      <c r="J32" s="101"/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0</v>
      </c>
      <c r="E33" s="57">
        <f t="shared" ref="E33:E39" si="9">F33+G33</f>
        <v>0</v>
      </c>
      <c r="F33" s="62"/>
      <c r="G33" s="63"/>
      <c r="H33" s="41">
        <f t="shared" si="1"/>
        <v>0</v>
      </c>
      <c r="I33" s="62"/>
      <c r="J33" s="62"/>
      <c r="K33" s="41">
        <f t="shared" si="2"/>
        <v>0</v>
      </c>
      <c r="L33" s="62"/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0</v>
      </c>
      <c r="E34" s="57">
        <f t="shared" si="9"/>
        <v>0</v>
      </c>
      <c r="F34" s="62"/>
      <c r="G34" s="63"/>
      <c r="H34" s="41">
        <f t="shared" si="1"/>
        <v>0</v>
      </c>
      <c r="I34" s="62"/>
      <c r="J34" s="62"/>
      <c r="K34" s="41">
        <f t="shared" si="2"/>
        <v>0</v>
      </c>
      <c r="L34" s="62"/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0</v>
      </c>
      <c r="E35" s="57">
        <f t="shared" si="9"/>
        <v>0</v>
      </c>
      <c r="F35" s="62"/>
      <c r="G35" s="63"/>
      <c r="H35" s="41">
        <f t="shared" si="1"/>
        <v>0</v>
      </c>
      <c r="I35" s="62"/>
      <c r="J35" s="62"/>
      <c r="K35" s="41">
        <f t="shared" si="2"/>
        <v>0</v>
      </c>
      <c r="L35" s="62"/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0</v>
      </c>
      <c r="E36" s="57">
        <f t="shared" si="9"/>
        <v>0</v>
      </c>
      <c r="F36" s="62"/>
      <c r="G36" s="63"/>
      <c r="H36" s="41">
        <f t="shared" si="1"/>
        <v>0</v>
      </c>
      <c r="I36" s="62"/>
      <c r="J36" s="62"/>
      <c r="K36" s="41">
        <f t="shared" si="2"/>
        <v>0</v>
      </c>
      <c r="L36" s="62"/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0</v>
      </c>
      <c r="E37" s="57">
        <f t="shared" si="9"/>
        <v>0</v>
      </c>
      <c r="F37" s="62"/>
      <c r="G37" s="63"/>
      <c r="H37" s="41">
        <f t="shared" si="1"/>
        <v>0</v>
      </c>
      <c r="I37" s="62"/>
      <c r="J37" s="62"/>
      <c r="K37" s="41">
        <f t="shared" si="2"/>
        <v>0</v>
      </c>
      <c r="L37" s="62"/>
      <c r="M37" s="62"/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0</v>
      </c>
      <c r="E38" s="57">
        <f t="shared" si="9"/>
        <v>0</v>
      </c>
      <c r="F38" s="62"/>
      <c r="G38" s="63"/>
      <c r="H38" s="41">
        <f t="shared" si="1"/>
        <v>0</v>
      </c>
      <c r="I38" s="62"/>
      <c r="J38" s="62"/>
      <c r="K38" s="41">
        <f t="shared" si="2"/>
        <v>0</v>
      </c>
      <c r="L38" s="62"/>
      <c r="M38" s="62"/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0</v>
      </c>
      <c r="E39" s="72">
        <f t="shared" si="9"/>
        <v>0</v>
      </c>
      <c r="F39" s="73"/>
      <c r="G39" s="74"/>
      <c r="H39" s="41">
        <f t="shared" si="1"/>
        <v>0</v>
      </c>
      <c r="I39" s="62"/>
      <c r="J39" s="62"/>
      <c r="K39" s="41">
        <f t="shared" si="2"/>
        <v>0</v>
      </c>
      <c r="L39" s="62"/>
      <c r="M39" s="62"/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</v>
      </c>
      <c r="E40" s="123"/>
      <c r="F40" s="133"/>
      <c r="G40" s="134"/>
      <c r="H40" s="41">
        <f t="shared" si="1"/>
        <v>0</v>
      </c>
      <c r="I40" s="135"/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0</v>
      </c>
      <c r="E41" s="121"/>
      <c r="F41" s="141"/>
      <c r="G41" s="142"/>
      <c r="H41" s="41">
        <f t="shared" si="1"/>
        <v>0</v>
      </c>
      <c r="I41" s="62"/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6.2239999999999997E-2</v>
      </c>
      <c r="E42" s="123"/>
      <c r="F42" s="133"/>
      <c r="G42" s="134"/>
      <c r="H42" s="41">
        <f t="shared" si="1"/>
        <v>6.2239999999999997E-2</v>
      </c>
      <c r="I42" s="62">
        <f>20/1000+0.2*1.2/1000+20/1000+15/1000+2/1000</f>
        <v>5.7239999999999999E-2</v>
      </c>
      <c r="J42" s="62">
        <f>5/1000</f>
        <v>5.0000000000000001E-3</v>
      </c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80.018000000000001</v>
      </c>
      <c r="E43" s="121"/>
      <c r="F43" s="141"/>
      <c r="G43" s="142"/>
      <c r="H43" s="41">
        <f t="shared" si="1"/>
        <v>80.018000000000001</v>
      </c>
      <c r="I43" s="62">
        <f>11.235+2.395+11.48+22.826+2.17</f>
        <v>50.106000000000002</v>
      </c>
      <c r="J43" s="62">
        <v>29.911999999999999</v>
      </c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2</v>
      </c>
      <c r="E44" s="57">
        <f t="shared" ref="E44:E59" si="11">F44+G44</f>
        <v>0</v>
      </c>
      <c r="F44" s="62"/>
      <c r="G44" s="63"/>
      <c r="H44" s="41">
        <f t="shared" si="1"/>
        <v>2</v>
      </c>
      <c r="I44" s="62">
        <f>1+1</f>
        <v>2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3.508</v>
      </c>
      <c r="E45" s="57">
        <f t="shared" si="11"/>
        <v>0</v>
      </c>
      <c r="F45" s="62"/>
      <c r="G45" s="63"/>
      <c r="H45" s="41">
        <f t="shared" si="1"/>
        <v>3.508</v>
      </c>
      <c r="I45" s="62">
        <f>1.121+2.387</f>
        <v>3.508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/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/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0</v>
      </c>
      <c r="E48" s="57">
        <f t="shared" si="11"/>
        <v>0</v>
      </c>
      <c r="F48" s="62"/>
      <c r="G48" s="63"/>
      <c r="H48" s="41">
        <f t="shared" si="1"/>
        <v>0</v>
      </c>
      <c r="I48" s="62"/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0</v>
      </c>
      <c r="E49" s="57">
        <f t="shared" si="11"/>
        <v>0</v>
      </c>
      <c r="F49" s="62"/>
      <c r="G49" s="63"/>
      <c r="H49" s="41">
        <f t="shared" si="1"/>
        <v>0</v>
      </c>
      <c r="I49" s="62"/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3</v>
      </c>
      <c r="E50" s="57">
        <f t="shared" si="11"/>
        <v>0</v>
      </c>
      <c r="F50" s="62"/>
      <c r="G50" s="63"/>
      <c r="H50" s="41">
        <f t="shared" si="1"/>
        <v>3</v>
      </c>
      <c r="I50" s="62">
        <f>1+1+1</f>
        <v>3</v>
      </c>
      <c r="J50" s="62"/>
      <c r="K50" s="41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14.927</v>
      </c>
      <c r="E51" s="57">
        <f t="shared" si="11"/>
        <v>0</v>
      </c>
      <c r="F51" s="62"/>
      <c r="G51" s="63"/>
      <c r="H51" s="41">
        <f t="shared" si="1"/>
        <v>14.927</v>
      </c>
      <c r="I51" s="62">
        <f>0.75+3.795+10.382</f>
        <v>14.927</v>
      </c>
      <c r="J51" s="62"/>
      <c r="K51" s="41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15</v>
      </c>
      <c r="E52" s="57">
        <f t="shared" si="11"/>
        <v>0</v>
      </c>
      <c r="F52" s="62"/>
      <c r="G52" s="63"/>
      <c r="H52" s="41">
        <f t="shared" si="1"/>
        <v>15</v>
      </c>
      <c r="I52" s="62">
        <f>1+1+1+2+1+2+1+1+2</f>
        <v>12</v>
      </c>
      <c r="J52" s="62">
        <v>3</v>
      </c>
      <c r="K52" s="41">
        <f t="shared" si="2"/>
        <v>0</v>
      </c>
      <c r="L52" s="62"/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237.55900000000003</v>
      </c>
      <c r="E53" s="57">
        <f t="shared" si="11"/>
        <v>0</v>
      </c>
      <c r="F53" s="62"/>
      <c r="G53" s="63"/>
      <c r="H53" s="41">
        <f t="shared" si="1"/>
        <v>237.55900000000003</v>
      </c>
      <c r="I53" s="62">
        <f>11.904+11.904+12.329+26.867+11.824+22.636+13.742+9.916+22.137</f>
        <v>143.25900000000001</v>
      </c>
      <c r="J53" s="62">
        <v>94.3</v>
      </c>
      <c r="K53" s="41">
        <f t="shared" si="2"/>
        <v>0</v>
      </c>
      <c r="L53" s="62"/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9</v>
      </c>
      <c r="E54" s="57">
        <f t="shared" si="11"/>
        <v>0</v>
      </c>
      <c r="F54" s="62"/>
      <c r="G54" s="63"/>
      <c r="H54" s="41">
        <f t="shared" si="1"/>
        <v>9</v>
      </c>
      <c r="I54" s="62">
        <f>1+1+1+1+1+1+2+1</f>
        <v>9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4.22</v>
      </c>
      <c r="E55" s="57">
        <f t="shared" si="11"/>
        <v>0</v>
      </c>
      <c r="F55" s="62"/>
      <c r="G55" s="63"/>
      <c r="H55" s="41">
        <f t="shared" si="1"/>
        <v>4.22</v>
      </c>
      <c r="I55" s="62">
        <f>0.197+0.197+0.197+1.243+0.466+0.591+1.132+0.197</f>
        <v>4.22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7.6499999999999997E-3</v>
      </c>
      <c r="E56" s="57">
        <f t="shared" si="11"/>
        <v>0</v>
      </c>
      <c r="F56" s="62"/>
      <c r="G56" s="63"/>
      <c r="H56" s="41">
        <f t="shared" si="1"/>
        <v>7.6499999999999997E-3</v>
      </c>
      <c r="I56" s="62">
        <v>7.6499999999999997E-3</v>
      </c>
      <c r="J56" s="62"/>
      <c r="K56" s="41">
        <f t="shared" si="2"/>
        <v>0</v>
      </c>
      <c r="L56" s="62"/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22.984000000000002</v>
      </c>
      <c r="E57" s="57">
        <f t="shared" si="11"/>
        <v>0</v>
      </c>
      <c r="F57" s="62"/>
      <c r="G57" s="63"/>
      <c r="H57" s="41">
        <f t="shared" si="1"/>
        <v>22.984000000000002</v>
      </c>
      <c r="I57" s="62">
        <v>22.984000000000002</v>
      </c>
      <c r="J57" s="62"/>
      <c r="K57" s="41">
        <f t="shared" si="2"/>
        <v>0</v>
      </c>
      <c r="L57" s="62"/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0</v>
      </c>
      <c r="E58" s="57">
        <f t="shared" si="11"/>
        <v>0</v>
      </c>
      <c r="F58" s="62"/>
      <c r="G58" s="63"/>
      <c r="H58" s="41">
        <f t="shared" si="1"/>
        <v>0</v>
      </c>
      <c r="I58" s="62"/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0</v>
      </c>
      <c r="E59" s="72">
        <f t="shared" si="11"/>
        <v>0</v>
      </c>
      <c r="F59" s="73"/>
      <c r="G59" s="74"/>
      <c r="H59" s="41">
        <f t="shared" si="1"/>
        <v>0</v>
      </c>
      <c r="I59" s="62"/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0</v>
      </c>
      <c r="E66" s="158"/>
      <c r="F66" s="159"/>
      <c r="G66" s="160"/>
      <c r="H66" s="41">
        <f t="shared" si="1"/>
        <v>0</v>
      </c>
      <c r="I66" s="62"/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0</v>
      </c>
      <c r="E67" s="166"/>
      <c r="F67" s="167"/>
      <c r="G67" s="168"/>
      <c r="H67" s="41">
        <f t="shared" si="1"/>
        <v>0</v>
      </c>
      <c r="I67" s="62"/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0</v>
      </c>
      <c r="E70" s="158"/>
      <c r="F70" s="159"/>
      <c r="G70" s="160"/>
      <c r="H70" s="41">
        <f t="shared" si="1"/>
        <v>0</v>
      </c>
      <c r="I70" s="62"/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0</v>
      </c>
      <c r="E71" s="166"/>
      <c r="F71" s="167"/>
      <c r="G71" s="168"/>
      <c r="H71" s="41">
        <f t="shared" si="1"/>
        <v>0</v>
      </c>
      <c r="I71" s="62"/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641.83699999999999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625.64800000000002</v>
      </c>
      <c r="I72" s="178">
        <f>I74+I84+I86</f>
        <v>625.64800000000002</v>
      </c>
      <c r="J72" s="178">
        <f>J74+J84+J86</f>
        <v>0</v>
      </c>
      <c r="K72" s="41">
        <f t="shared" si="2"/>
        <v>16.188999999999997</v>
      </c>
      <c r="L72" s="179">
        <f t="shared" si="13"/>
        <v>16.188999999999997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0.46889999999999993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0.4524999999999999</v>
      </c>
      <c r="I73" s="18">
        <f t="shared" si="14"/>
        <v>0.4524999999999999</v>
      </c>
      <c r="J73" s="18">
        <f t="shared" si="14"/>
        <v>0</v>
      </c>
      <c r="K73" s="49">
        <f t="shared" si="2"/>
        <v>1.6400000000000001E-2</v>
      </c>
      <c r="L73" s="18">
        <f t="shared" si="14"/>
        <v>1.6400000000000001E-2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420.74200000000002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409.733</v>
      </c>
      <c r="I74" s="18">
        <f>I76+I78+I80+I82</f>
        <v>409.733</v>
      </c>
      <c r="J74" s="18">
        <f>J76+J78+J80+J82</f>
        <v>0</v>
      </c>
      <c r="K74" s="49">
        <f t="shared" si="2"/>
        <v>11.008999999999999</v>
      </c>
      <c r="L74" s="18">
        <f>L76+L78+L80+L82</f>
        <v>11.008999999999999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2.3899999999999998E-2</v>
      </c>
      <c r="E75" s="57">
        <f t="shared" ref="E75:E86" si="16">F75+G75</f>
        <v>0</v>
      </c>
      <c r="F75" s="62"/>
      <c r="G75" s="62"/>
      <c r="H75" s="48">
        <f t="shared" si="1"/>
        <v>2.3899999999999998E-2</v>
      </c>
      <c r="I75" s="20">
        <f>2/1000+0+20.4/1000+1.5/1000</f>
        <v>2.3899999999999998E-2</v>
      </c>
      <c r="J75" s="258"/>
      <c r="K75" s="49">
        <f t="shared" si="2"/>
        <v>0</v>
      </c>
      <c r="L75" s="20"/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18.658000000000001</v>
      </c>
      <c r="E76" s="57">
        <f t="shared" si="16"/>
        <v>0</v>
      </c>
      <c r="F76" s="62"/>
      <c r="G76" s="62"/>
      <c r="H76" s="48">
        <f t="shared" si="1"/>
        <v>18.658000000000001</v>
      </c>
      <c r="I76" s="20">
        <f>1.509+0.375+0.192+14.535+2.047</f>
        <v>18.658000000000001</v>
      </c>
      <c r="J76" s="258"/>
      <c r="K76" s="49">
        <f t="shared" si="2"/>
        <v>0</v>
      </c>
      <c r="L76" s="20"/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0.11030000000000001</v>
      </c>
      <c r="E77" s="57">
        <f t="shared" si="16"/>
        <v>0</v>
      </c>
      <c r="F77" s="62"/>
      <c r="G77" s="62"/>
      <c r="H77" s="48">
        <f t="shared" si="1"/>
        <v>0.10730000000000001</v>
      </c>
      <c r="I77" s="20">
        <f>0+8/1000+9/1000+5/1000+12/1000+0.5/1000+3/1000+10.4/1000+11/1000+14.2/1000+20.7/1000+5.8/1000+4.7/1000+1/1000+2/1000</f>
        <v>0.10730000000000001</v>
      </c>
      <c r="J77" s="258"/>
      <c r="K77" s="49">
        <f t="shared" si="2"/>
        <v>3.0000000000000001E-3</v>
      </c>
      <c r="L77" s="20">
        <f>3/1000</f>
        <v>3.0000000000000001E-3</v>
      </c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97.86999999999999</v>
      </c>
      <c r="E78" s="57">
        <f t="shared" si="16"/>
        <v>0</v>
      </c>
      <c r="F78" s="62"/>
      <c r="G78" s="62"/>
      <c r="H78" s="48">
        <f t="shared" ref="H78:H97" si="23">I78+J78</f>
        <v>95.618999999999986</v>
      </c>
      <c r="I78" s="20">
        <f>0.421+0.219+4.64+13.033+4.305+11.676+0.66+2.456+0.282+0.208+19.332+9.518+18.981+4.544+2.904+0.813+1.627</f>
        <v>95.618999999999986</v>
      </c>
      <c r="J78" s="259"/>
      <c r="K78" s="49">
        <f t="shared" ref="K78:K97" si="24">L78+M78</f>
        <v>2.2509999999999999</v>
      </c>
      <c r="L78" s="185">
        <f>2.251</f>
        <v>2.2509999999999999</v>
      </c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0.29919999999999991</v>
      </c>
      <c r="E79" s="57">
        <f t="shared" si="16"/>
        <v>0</v>
      </c>
      <c r="F79" s="62"/>
      <c r="G79" s="62"/>
      <c r="H79" s="48">
        <f t="shared" si="23"/>
        <v>0.28579999999999989</v>
      </c>
      <c r="I79" s="20">
        <f>(4+4+2+4+6+2.1+9+5+1+57+45.8+4+12+12+7+2+9+1+0.5+10+2+1.5+48.2+4.1+1.1+1+2.2+2.4+3.2+4.1+2.2+16.4)/1000</f>
        <v>0.28579999999999989</v>
      </c>
      <c r="J79" s="20"/>
      <c r="K79" s="49">
        <f t="shared" si="24"/>
        <v>1.34E-2</v>
      </c>
      <c r="L79" s="20">
        <f>1/1000+6.2/1000+4.2/1000+2/1000</f>
        <v>1.34E-2</v>
      </c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264.173</v>
      </c>
      <c r="E80" s="57">
        <f t="shared" si="16"/>
        <v>0</v>
      </c>
      <c r="F80" s="62"/>
      <c r="G80" s="62"/>
      <c r="H80" s="48">
        <f t="shared" si="23"/>
        <v>255.41499999999999</v>
      </c>
      <c r="I80" s="20">
        <f>3.244+3.516+3.789+3.827+1.27+1.536+8.129+1.162+0.605+0.535+0.535+36.74+54.409+2.482+0.366+10.449+13.257+5.788+2.696+6.36+0.809+1.237+18.382+3.603+1.283+39.171+1.045+0.775+3.612+0.828+0.831+2.171+2.104+2.774+3.142+1.358+11.595</f>
        <v>255.41499999999999</v>
      </c>
      <c r="J80" s="259"/>
      <c r="K80" s="49">
        <f t="shared" si="24"/>
        <v>8.7579999999999991</v>
      </c>
      <c r="L80" s="20">
        <f>5.1+2.289+1.369</f>
        <v>8.7579999999999991</v>
      </c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3.5500000000000004E-2</v>
      </c>
      <c r="E81" s="57">
        <f t="shared" si="16"/>
        <v>0</v>
      </c>
      <c r="F81" s="62"/>
      <c r="G81" s="62"/>
      <c r="H81" s="48">
        <f t="shared" si="23"/>
        <v>3.5500000000000004E-2</v>
      </c>
      <c r="I81" s="20">
        <f>6.5/1000+2/1000+3/1000+2.2/1000+14.5/1000+1.2/1000+2.1/1000+1.5/1000+2.5/1000</f>
        <v>3.5500000000000004E-2</v>
      </c>
      <c r="J81" s="20"/>
      <c r="K81" s="49">
        <f t="shared" si="24"/>
        <v>0</v>
      </c>
      <c r="L81" s="20"/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40.041000000000004</v>
      </c>
      <c r="E82" s="57">
        <f t="shared" si="16"/>
        <v>0</v>
      </c>
      <c r="F82" s="62"/>
      <c r="G82" s="62"/>
      <c r="H82" s="48">
        <f t="shared" si="23"/>
        <v>40.041000000000004</v>
      </c>
      <c r="I82" s="20">
        <f>10.422+3.291+9.449+1.187+10.753+0.914+1.471+1.05+1.504</f>
        <v>40.041000000000004</v>
      </c>
      <c r="J82" s="20"/>
      <c r="K82" s="49">
        <f t="shared" si="24"/>
        <v>0</v>
      </c>
      <c r="L82" s="20"/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27</v>
      </c>
      <c r="E83" s="57">
        <f t="shared" si="16"/>
        <v>0</v>
      </c>
      <c r="F83" s="62"/>
      <c r="G83" s="62"/>
      <c r="H83" s="48">
        <f t="shared" si="23"/>
        <v>26</v>
      </c>
      <c r="I83" s="20">
        <f>2+1+2+1+1+1+1+3+1+1+1+2+2+1+1+1+1+1+2</f>
        <v>26</v>
      </c>
      <c r="J83" s="20"/>
      <c r="K83" s="49">
        <f t="shared" si="24"/>
        <v>1</v>
      </c>
      <c r="L83" s="20">
        <f>1</f>
        <v>1</v>
      </c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160.54599999999999</v>
      </c>
      <c r="E84" s="57">
        <f t="shared" si="16"/>
        <v>0</v>
      </c>
      <c r="F84" s="62"/>
      <c r="G84" s="62"/>
      <c r="H84" s="48">
        <f t="shared" si="23"/>
        <v>156.55099999999999</v>
      </c>
      <c r="I84" s="20">
        <f>15.734+7.867+14.244+6.968+5.92+8.308+5.089+15.244+4.76+6.765+6.377+11.283+8.669+5.036+5.92+5.532+5.41+5.285+12.14</f>
        <v>156.55099999999999</v>
      </c>
      <c r="J84" s="20"/>
      <c r="K84" s="49">
        <f t="shared" si="24"/>
        <v>3.9950000000000001</v>
      </c>
      <c r="L84" s="20">
        <f>3.995</f>
        <v>3.9950000000000001</v>
      </c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58</v>
      </c>
      <c r="E85" s="57">
        <f t="shared" si="16"/>
        <v>0</v>
      </c>
      <c r="F85" s="62"/>
      <c r="G85" s="62"/>
      <c r="H85" s="48">
        <f t="shared" si="23"/>
        <v>56</v>
      </c>
      <c r="I85" s="20">
        <f>1+2+4+2+6+1+3+1+6+2+2+3+1+1+1+4+3+5+2+3+3</f>
        <v>56</v>
      </c>
      <c r="J85" s="20"/>
      <c r="K85" s="49">
        <f t="shared" si="24"/>
        <v>2</v>
      </c>
      <c r="L85" s="20">
        <f>2</f>
        <v>2</v>
      </c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60.548999999999992</v>
      </c>
      <c r="E86" s="57">
        <f t="shared" si="16"/>
        <v>0</v>
      </c>
      <c r="F86" s="62"/>
      <c r="G86" s="62"/>
      <c r="H86" s="48">
        <f t="shared" si="23"/>
        <v>59.36399999999999</v>
      </c>
      <c r="I86" s="20">
        <f>0.735+1.204+3.014+1.736+3.913+0.677+2.06+1.606+3.78+1.415+1.407+9.221+0.677+0.591+0.686+3.166+6.458+6.756+5.777+2.032+2.453</f>
        <v>59.36399999999999</v>
      </c>
      <c r="J86" s="20"/>
      <c r="K86" s="49">
        <f t="shared" si="24"/>
        <v>1.1850000000000001</v>
      </c>
      <c r="L86" s="20">
        <f>1.185</f>
        <v>1.1850000000000001</v>
      </c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0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0</v>
      </c>
      <c r="I87" s="195">
        <f t="shared" si="25"/>
        <v>0</v>
      </c>
      <c r="J87" s="195">
        <f t="shared" si="25"/>
        <v>0</v>
      </c>
      <c r="K87" s="41">
        <f t="shared" si="24"/>
        <v>0</v>
      </c>
      <c r="L87" s="195">
        <f t="shared" si="25"/>
        <v>0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0</v>
      </c>
      <c r="E88" s="57">
        <f>F88+G88</f>
        <v>0</v>
      </c>
      <c r="F88" s="62"/>
      <c r="G88" s="62"/>
      <c r="H88" s="41">
        <f t="shared" si="23"/>
        <v>0</v>
      </c>
      <c r="I88" s="196"/>
      <c r="J88" s="197"/>
      <c r="K88" s="41">
        <f t="shared" si="24"/>
        <v>0</v>
      </c>
      <c r="L88" s="62"/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0</v>
      </c>
      <c r="E89" s="57">
        <f>F89+G89</f>
        <v>0</v>
      </c>
      <c r="F89" s="62"/>
      <c r="G89" s="62"/>
      <c r="H89" s="41">
        <f t="shared" si="23"/>
        <v>0</v>
      </c>
      <c r="I89" s="196"/>
      <c r="J89" s="197"/>
      <c r="K89" s="41">
        <f t="shared" si="24"/>
        <v>0</v>
      </c>
      <c r="L89" s="62"/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0</v>
      </c>
      <c r="E90" s="57">
        <v>0</v>
      </c>
      <c r="F90" s="62"/>
      <c r="G90" s="62"/>
      <c r="H90" s="41">
        <f>I90+J91</f>
        <v>0</v>
      </c>
      <c r="I90" s="196"/>
      <c r="K90" s="41">
        <f t="shared" si="24"/>
        <v>0</v>
      </c>
      <c r="L90" s="62"/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0</v>
      </c>
      <c r="E91" s="57">
        <f>F91+G91</f>
        <v>0</v>
      </c>
      <c r="F91" s="62"/>
      <c r="G91" s="62"/>
      <c r="H91" s="41">
        <f t="shared" ref="H91:H93" si="31">I91+J92</f>
        <v>0</v>
      </c>
      <c r="I91" s="196"/>
      <c r="J91" s="197"/>
      <c r="K91" s="41">
        <f t="shared" si="24"/>
        <v>0</v>
      </c>
      <c r="L91" s="62"/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0</v>
      </c>
      <c r="E92" s="57">
        <f>F92+G92</f>
        <v>0</v>
      </c>
      <c r="F92" s="62"/>
      <c r="G92" s="62"/>
      <c r="H92" s="41">
        <f t="shared" si="31"/>
        <v>0</v>
      </c>
      <c r="I92" s="196"/>
      <c r="J92" s="197"/>
      <c r="K92" s="41">
        <f t="shared" si="24"/>
        <v>0</v>
      </c>
      <c r="L92" s="62"/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0</v>
      </c>
      <c r="E93" s="57">
        <f>F93+G93</f>
        <v>0</v>
      </c>
      <c r="F93" s="62"/>
      <c r="G93" s="62"/>
      <c r="H93" s="41">
        <f t="shared" si="31"/>
        <v>0</v>
      </c>
      <c r="I93" s="196"/>
      <c r="J93" s="197"/>
      <c r="K93" s="41">
        <f t="shared" si="24"/>
        <v>0</v>
      </c>
      <c r="L93" s="62"/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0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0</v>
      </c>
      <c r="I94" s="205">
        <f t="shared" si="32"/>
        <v>0</v>
      </c>
      <c r="J94" s="205">
        <f t="shared" si="32"/>
        <v>0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0</v>
      </c>
      <c r="E95" s="57">
        <f>F95+G95</f>
        <v>0</v>
      </c>
      <c r="F95" s="62"/>
      <c r="G95" s="62"/>
      <c r="H95" s="41">
        <f t="shared" si="23"/>
        <v>0</v>
      </c>
      <c r="I95" s="62"/>
      <c r="J95" s="62"/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0.97</v>
      </c>
      <c r="E97" s="211">
        <f>F97+G97</f>
        <v>0</v>
      </c>
      <c r="F97" s="212"/>
      <c r="G97" s="212"/>
      <c r="H97" s="41">
        <f t="shared" si="23"/>
        <v>0.97</v>
      </c>
      <c r="I97" s="212">
        <f>0.97</f>
        <v>0.97</v>
      </c>
      <c r="J97" s="212"/>
      <c r="K97" s="41">
        <f t="shared" si="24"/>
        <v>0</v>
      </c>
      <c r="L97" s="212"/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1008.495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992.30600000000004</v>
      </c>
      <c r="I98" s="144">
        <f>I97+I94+I87+I72+I13</f>
        <v>868.09400000000005</v>
      </c>
      <c r="J98" s="144">
        <f>J97+J94+J87+J72+J13</f>
        <v>124.21199999999999</v>
      </c>
      <c r="K98" s="41">
        <f>L98+M98</f>
        <v>16.188999999999997</v>
      </c>
      <c r="L98" s="218">
        <f t="shared" si="33"/>
        <v>16.188999999999997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79640.232000000004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14.927</v>
      </c>
      <c r="E100" s="27"/>
      <c r="F100" s="27"/>
      <c r="G100" s="27"/>
      <c r="H100" s="27"/>
      <c r="I100" s="27">
        <f>H97-I97</f>
        <v>0</v>
      </c>
      <c r="J100" s="27">
        <f>I97+E99</f>
        <v>79641.202000000005</v>
      </c>
      <c r="K100" s="27"/>
      <c r="L100" s="27"/>
      <c r="M100" s="27">
        <f>9567.184-K98</f>
        <v>9550.994999999999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>
        <f>I147</f>
        <v>0</v>
      </c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>
        <f>I148</f>
        <v>0</v>
      </c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/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/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/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/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191</v>
      </c>
      <c r="B157" s="5"/>
      <c r="C157" s="5"/>
      <c r="D157" s="5"/>
      <c r="E157" s="5"/>
    </row>
    <row r="158" spans="1:24" s="6" customFormat="1">
      <c r="A158" s="7"/>
    </row>
    <row r="159" spans="1:24" s="6" customFormat="1">
      <c r="A159" s="7"/>
    </row>
    <row r="160" spans="1:24" s="6" customFormat="1">
      <c r="A160" s="5"/>
      <c r="B160" s="5"/>
      <c r="C160" s="5"/>
      <c r="D160" s="5"/>
      <c r="E160" s="5"/>
    </row>
    <row r="163" ht="6" customHeight="1"/>
  </sheetData>
  <mergeCells count="21">
    <mergeCell ref="A14:A16"/>
    <mergeCell ref="A101:T101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63"/>
  <sheetViews>
    <sheetView topLeftCell="A31" zoomScale="90" zoomScaleNormal="90" workbookViewId="0">
      <selection activeCell="D147" sqref="D147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140625" style="10" customWidth="1"/>
    <col min="6" max="7" width="0" style="9" hidden="1" customWidth="1"/>
    <col min="8" max="8" width="11.85546875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210</v>
      </c>
      <c r="U6" s="1755"/>
      <c r="V6" s="1755"/>
      <c r="W6" s="1755"/>
      <c r="X6" s="1755"/>
    </row>
    <row r="7" spans="1:27" ht="53.25" customHeight="1">
      <c r="A7" s="1754" t="s">
        <v>296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420" t="s">
        <v>190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30"/>
      <c r="P8" s="420"/>
      <c r="Q8" s="420"/>
      <c r="R8" s="420"/>
      <c r="S8" s="420"/>
      <c r="T8" s="420"/>
      <c r="U8" s="9"/>
      <c r="V8" s="9"/>
      <c r="W8" s="9"/>
      <c r="X8" s="9"/>
    </row>
    <row r="9" spans="1:27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>
      <c r="A10" s="1887" t="s">
        <v>1</v>
      </c>
      <c r="B10" s="1888" t="s">
        <v>2</v>
      </c>
      <c r="C10" s="1888" t="s">
        <v>3</v>
      </c>
      <c r="D10" s="1889" t="s">
        <v>192</v>
      </c>
      <c r="E10" s="1886" t="s">
        <v>5</v>
      </c>
      <c r="F10" s="1886"/>
      <c r="G10" s="1886"/>
      <c r="H10" s="1886"/>
      <c r="I10" s="1886"/>
      <c r="J10" s="1886"/>
      <c r="K10" s="1886"/>
      <c r="L10" s="1886"/>
      <c r="M10" s="1886"/>
      <c r="N10" s="1886"/>
      <c r="O10" s="1886"/>
      <c r="P10" s="1886"/>
      <c r="Q10" s="1886"/>
      <c r="R10" s="1886" t="s">
        <v>6</v>
      </c>
      <c r="S10" s="1886"/>
      <c r="T10" s="1886"/>
      <c r="U10" s="1886" t="s">
        <v>7</v>
      </c>
      <c r="V10" s="1886"/>
      <c r="W10" s="1886" t="s">
        <v>8</v>
      </c>
      <c r="X10" s="1886"/>
    </row>
    <row r="11" spans="1:27" ht="149.25" customHeight="1">
      <c r="A11" s="1887"/>
      <c r="B11" s="1888"/>
      <c r="C11" s="1888"/>
      <c r="D11" s="1889"/>
      <c r="E11" s="1886" t="s">
        <v>9</v>
      </c>
      <c r="F11" s="1886"/>
      <c r="G11" s="1886"/>
      <c r="H11" s="1886" t="s">
        <v>10</v>
      </c>
      <c r="I11" s="1886"/>
      <c r="J11" s="1886"/>
      <c r="K11" s="1886" t="s">
        <v>11</v>
      </c>
      <c r="L11" s="1886"/>
      <c r="M11" s="1886"/>
      <c r="N11" s="1886" t="s">
        <v>12</v>
      </c>
      <c r="O11" s="1886"/>
      <c r="P11" s="1886" t="s">
        <v>13</v>
      </c>
      <c r="Q11" s="1886"/>
      <c r="R11" s="1886"/>
      <c r="S11" s="1886"/>
      <c r="T11" s="1886"/>
      <c r="U11" s="1886"/>
      <c r="V11" s="1886"/>
      <c r="W11" s="1886"/>
      <c r="X11" s="1886"/>
    </row>
    <row r="12" spans="1:27" ht="13.5" customHeight="1" thickBot="1">
      <c r="A12" s="1887"/>
      <c r="B12" s="1888"/>
      <c r="C12" s="1888"/>
      <c r="D12" s="1890"/>
      <c r="E12" s="473" t="s">
        <v>14</v>
      </c>
      <c r="F12" s="474" t="s">
        <v>15</v>
      </c>
      <c r="G12" s="474" t="s">
        <v>16</v>
      </c>
      <c r="H12" s="473" t="s">
        <v>14</v>
      </c>
      <c r="I12" s="426" t="s">
        <v>15</v>
      </c>
      <c r="J12" s="426" t="s">
        <v>16</v>
      </c>
      <c r="K12" s="473" t="s">
        <v>14</v>
      </c>
      <c r="L12" s="426" t="s">
        <v>15</v>
      </c>
      <c r="M12" s="426" t="s">
        <v>16</v>
      </c>
      <c r="N12" s="425" t="s">
        <v>4</v>
      </c>
      <c r="O12" s="426" t="s">
        <v>16</v>
      </c>
      <c r="P12" s="425" t="s">
        <v>4</v>
      </c>
      <c r="Q12" s="427" t="s">
        <v>17</v>
      </c>
      <c r="R12" s="425" t="s">
        <v>4</v>
      </c>
      <c r="S12" s="426" t="s">
        <v>15</v>
      </c>
      <c r="T12" s="426" t="s">
        <v>16</v>
      </c>
      <c r="U12" s="425" t="s">
        <v>4</v>
      </c>
      <c r="V12" s="426" t="s">
        <v>18</v>
      </c>
      <c r="W12" s="425" t="s">
        <v>4</v>
      </c>
      <c r="X12" s="426" t="s">
        <v>18</v>
      </c>
    </row>
    <row r="13" spans="1:27" s="15" customFormat="1" ht="46.35" customHeight="1">
      <c r="A13" s="428" t="s">
        <v>19</v>
      </c>
      <c r="B13" s="429" t="s">
        <v>20</v>
      </c>
      <c r="C13" s="455" t="s">
        <v>21</v>
      </c>
      <c r="D13" s="475">
        <f t="shared" ref="D13:D76" si="0">H13+K13</f>
        <v>4400.7910000000002</v>
      </c>
      <c r="E13" s="476">
        <f>E16+E23+E34+E36+E39+E41+E43+E45+E47+E49+E51+E53+E55+E57+E59+E61+E63+E65+E67+E69+E71</f>
        <v>0</v>
      </c>
      <c r="F13" s="476">
        <f>F16+F23+F34+F36+F39+F41+F43+F45+F47+F49+F51+F53+F55+F57+F59+F61+F63+F65+F67+F69+F71</f>
        <v>0</v>
      </c>
      <c r="G13" s="476">
        <f>G16+G23+G34+G36+G39+G41+G43+G45+G47+G49+G51+G53+G55+G57+G59+G61+G63+G65+G67+G69+G71</f>
        <v>0</v>
      </c>
      <c r="H13" s="477">
        <f>I13+J13</f>
        <v>4174.7160000000003</v>
      </c>
      <c r="I13" s="462">
        <f>I16+I23+I34+I36+I39+I41+I43+I45+I47+I49+I51+I53+I55+I57+I59+I61+I63+I65+I67+I69+I71</f>
        <v>3462.6400000000003</v>
      </c>
      <c r="J13" s="483">
        <f>J16+J23+J34+J36+J39+J41+J43+J45+J47+J49+J51+J53+J55+J57+J59+J61+J63+J65+J67+J69+J71</f>
        <v>712.07600000000002</v>
      </c>
      <c r="K13" s="490">
        <f>L13+M13</f>
        <v>226.07500000000002</v>
      </c>
      <c r="L13" s="462">
        <f>L16+L23+L34+L36+L39+L41+L43+L45+L47+L49+L51+L53+L55+L57+L59+L61+L63+L65+L67+L69+L71</f>
        <v>226.07500000000002</v>
      </c>
      <c r="M13" s="430">
        <f>M16+M23+M34+M36+M39+M41+M43+M45+M47+M49+M51+M53+M55+M57+M59+M61+M63+M65+M67+M69+M71</f>
        <v>0</v>
      </c>
      <c r="N13" s="430">
        <v>0</v>
      </c>
      <c r="O13" s="430">
        <v>0</v>
      </c>
      <c r="P13" s="430">
        <v>0</v>
      </c>
      <c r="Q13" s="430">
        <v>0</v>
      </c>
      <c r="R13" s="430">
        <v>0</v>
      </c>
      <c r="S13" s="430">
        <v>0</v>
      </c>
      <c r="T13" s="430">
        <v>0</v>
      </c>
      <c r="U13" s="430">
        <v>0</v>
      </c>
      <c r="V13" s="430">
        <v>0</v>
      </c>
      <c r="W13" s="430">
        <v>0</v>
      </c>
      <c r="X13" s="430">
        <v>0</v>
      </c>
      <c r="Y13" s="14"/>
      <c r="Z13" s="14"/>
      <c r="AA13" s="14"/>
    </row>
    <row r="14" spans="1:27" ht="31.5" customHeight="1">
      <c r="A14" s="1884">
        <v>1</v>
      </c>
      <c r="B14" s="8" t="s">
        <v>22</v>
      </c>
      <c r="C14" s="456" t="s">
        <v>23</v>
      </c>
      <c r="D14" s="478">
        <f t="shared" si="0"/>
        <v>29</v>
      </c>
      <c r="E14" s="16"/>
      <c r="F14" s="16"/>
      <c r="G14" s="16"/>
      <c r="H14" s="479">
        <f t="shared" ref="H14:H77" si="1">I14+J14</f>
        <v>26</v>
      </c>
      <c r="I14" s="463">
        <f>'1 квартал'!I14+'2 квартал'!I14</f>
        <v>26</v>
      </c>
      <c r="J14" s="463">
        <f>'1 квартал'!J14+'2 квартал'!J14</f>
        <v>0</v>
      </c>
      <c r="K14" s="491">
        <f t="shared" ref="K14:K77" si="2">L14+M14</f>
        <v>3</v>
      </c>
      <c r="L14" s="463">
        <f>'1 квартал'!L14+'2 квартал'!L14</f>
        <v>3</v>
      </c>
      <c r="M14" s="463">
        <f>'1 квартал'!M14+'2 квартал'!M14</f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7" ht="15.75">
      <c r="A15" s="1884"/>
      <c r="B15" s="8"/>
      <c r="C15" s="457" t="s">
        <v>24</v>
      </c>
      <c r="D15" s="478">
        <f t="shared" si="0"/>
        <v>0.21942999999999999</v>
      </c>
      <c r="E15" s="18">
        <f>E17+E19+E21</f>
        <v>0</v>
      </c>
      <c r="F15" s="18">
        <f>F17+F19+F21</f>
        <v>0</v>
      </c>
      <c r="G15" s="18">
        <f>G17+G19+G21</f>
        <v>0</v>
      </c>
      <c r="H15" s="479">
        <f t="shared" si="1"/>
        <v>0.19292999999999999</v>
      </c>
      <c r="I15" s="464">
        <f>I17+I19</f>
        <v>0.19292999999999999</v>
      </c>
      <c r="J15" s="484">
        <f>J17+J19</f>
        <v>0</v>
      </c>
      <c r="K15" s="491">
        <f t="shared" si="2"/>
        <v>2.6500000000000003E-2</v>
      </c>
      <c r="L15" s="464">
        <f>L17+L19</f>
        <v>2.6500000000000003E-2</v>
      </c>
      <c r="M15" s="18">
        <f>M17+M19</f>
        <v>0</v>
      </c>
      <c r="N15" s="18">
        <f t="shared" ref="N15:X16" si="3">N17+N19</f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8">
        <f t="shared" si="3"/>
        <v>0</v>
      </c>
      <c r="S15" s="18">
        <f t="shared" si="3"/>
        <v>0</v>
      </c>
      <c r="T15" s="18">
        <f t="shared" si="3"/>
        <v>0</v>
      </c>
      <c r="U15" s="18">
        <f t="shared" si="3"/>
        <v>0</v>
      </c>
      <c r="V15" s="18">
        <f t="shared" si="3"/>
        <v>0</v>
      </c>
      <c r="W15" s="18">
        <f t="shared" si="3"/>
        <v>0</v>
      </c>
      <c r="X15" s="18">
        <f t="shared" si="3"/>
        <v>0</v>
      </c>
      <c r="Y15" s="9"/>
      <c r="Z15" s="9"/>
      <c r="AA15" s="9"/>
    </row>
    <row r="16" spans="1:27" ht="15.75">
      <c r="A16" s="1884"/>
      <c r="B16" s="19" t="s">
        <v>25</v>
      </c>
      <c r="C16" s="457" t="s">
        <v>21</v>
      </c>
      <c r="D16" s="478">
        <f t="shared" si="0"/>
        <v>214.42900000000003</v>
      </c>
      <c r="E16" s="18">
        <f>E18+E20</f>
        <v>0</v>
      </c>
      <c r="F16" s="18">
        <f>F18+F20</f>
        <v>0</v>
      </c>
      <c r="G16" s="18">
        <f>G18+G20</f>
        <v>0</v>
      </c>
      <c r="H16" s="479">
        <f t="shared" si="1"/>
        <v>204.68400000000003</v>
      </c>
      <c r="I16" s="464">
        <f>I18+I20+I21</f>
        <v>204.68400000000003</v>
      </c>
      <c r="J16" s="484">
        <f>J18+J20+J21</f>
        <v>0</v>
      </c>
      <c r="K16" s="491">
        <f t="shared" si="2"/>
        <v>9.7449999999999992</v>
      </c>
      <c r="L16" s="464">
        <f>L18+L20+L21</f>
        <v>9.7449999999999992</v>
      </c>
      <c r="M16" s="18">
        <f>M18+M20+M21</f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9"/>
      <c r="Z16" s="9"/>
      <c r="AA16" s="9"/>
    </row>
    <row r="17" spans="1:27" ht="15.75">
      <c r="A17" s="17" t="s">
        <v>26</v>
      </c>
      <c r="B17" s="19" t="s">
        <v>27</v>
      </c>
      <c r="C17" s="457" t="s">
        <v>24</v>
      </c>
      <c r="D17" s="478">
        <f t="shared" si="0"/>
        <v>6.2600000000000003E-2</v>
      </c>
      <c r="E17" s="18">
        <f>F17+G17</f>
        <v>0</v>
      </c>
      <c r="F17" s="20"/>
      <c r="G17" s="20"/>
      <c r="H17" s="479">
        <f t="shared" si="1"/>
        <v>6.2600000000000003E-2</v>
      </c>
      <c r="I17" s="465">
        <f>'1 квартал'!I17+'2 квартал'!I17</f>
        <v>6.2600000000000003E-2</v>
      </c>
      <c r="J17" s="465">
        <f>'1 квартал'!J17+'2 квартал'!J17</f>
        <v>0</v>
      </c>
      <c r="K17" s="491">
        <f t="shared" si="2"/>
        <v>0</v>
      </c>
      <c r="L17" s="466">
        <f>'1 квартал'!L17+'2 квартал'!L17</f>
        <v>0</v>
      </c>
      <c r="M17" s="466">
        <f>'1 квартал'!M17+'2 квартал'!M17</f>
        <v>0</v>
      </c>
      <c r="N17" s="18">
        <f t="shared" ref="N17:N32" si="4">O17</f>
        <v>0</v>
      </c>
      <c r="O17" s="21"/>
      <c r="P17" s="18">
        <f t="shared" ref="P17:P71" si="5">Q17</f>
        <v>0</v>
      </c>
      <c r="Q17" s="18"/>
      <c r="R17" s="18">
        <f t="shared" ref="R17:R71" si="6">S17+T17</f>
        <v>0</v>
      </c>
      <c r="S17" s="18"/>
      <c r="T17" s="18"/>
      <c r="U17" s="18">
        <f t="shared" ref="U17:U71" si="7">V17</f>
        <v>0</v>
      </c>
      <c r="V17" s="18"/>
      <c r="W17" s="18">
        <f t="shared" ref="W17:W39" si="8">X17</f>
        <v>0</v>
      </c>
      <c r="X17" s="18"/>
      <c r="Y17" s="9"/>
      <c r="Z17" s="9"/>
      <c r="AA17" s="9"/>
    </row>
    <row r="18" spans="1:27" ht="15.75">
      <c r="A18" s="17"/>
      <c r="B18" s="19"/>
      <c r="C18" s="457" t="s">
        <v>21</v>
      </c>
      <c r="D18" s="478">
        <f t="shared" si="0"/>
        <v>145.86700000000002</v>
      </c>
      <c r="E18" s="18">
        <f>F18+G18</f>
        <v>0</v>
      </c>
      <c r="F18" s="20"/>
      <c r="G18" s="20"/>
      <c r="H18" s="479">
        <f t="shared" si="1"/>
        <v>145.86700000000002</v>
      </c>
      <c r="I18" s="465">
        <f>'1 квартал'!I18+'2 квартал'!I18</f>
        <v>145.86700000000002</v>
      </c>
      <c r="J18" s="465">
        <f>'1 квартал'!J18+'2 квартал'!J18</f>
        <v>0</v>
      </c>
      <c r="K18" s="491">
        <f t="shared" si="2"/>
        <v>0</v>
      </c>
      <c r="L18" s="466">
        <f>'1 квартал'!L18+'2 квартал'!L18</f>
        <v>0</v>
      </c>
      <c r="M18" s="466">
        <f>'1 квартал'!M18+'2 квартал'!M18</f>
        <v>0</v>
      </c>
      <c r="N18" s="18">
        <f t="shared" si="4"/>
        <v>0</v>
      </c>
      <c r="O18" s="21"/>
      <c r="P18" s="18">
        <f t="shared" si="5"/>
        <v>0</v>
      </c>
      <c r="Q18" s="18"/>
      <c r="R18" s="18">
        <f t="shared" si="6"/>
        <v>0</v>
      </c>
      <c r="S18" s="18"/>
      <c r="T18" s="18"/>
      <c r="U18" s="18">
        <f t="shared" si="7"/>
        <v>0</v>
      </c>
      <c r="V18" s="18"/>
      <c r="W18" s="18">
        <f t="shared" si="8"/>
        <v>0</v>
      </c>
      <c r="X18" s="18"/>
      <c r="Y18" s="9"/>
      <c r="Z18" s="9"/>
      <c r="AA18" s="9"/>
    </row>
    <row r="19" spans="1:27" ht="15.75">
      <c r="A19" s="17" t="s">
        <v>28</v>
      </c>
      <c r="B19" s="19" t="s">
        <v>29</v>
      </c>
      <c r="C19" s="457" t="s">
        <v>24</v>
      </c>
      <c r="D19" s="478">
        <f t="shared" si="0"/>
        <v>0.15683</v>
      </c>
      <c r="E19" s="18">
        <f>F19+G19</f>
        <v>0</v>
      </c>
      <c r="F19" s="20"/>
      <c r="G19" s="20"/>
      <c r="H19" s="479">
        <f t="shared" si="1"/>
        <v>0.13033</v>
      </c>
      <c r="I19" s="465">
        <f>'1 квартал'!I19+'2 квартал'!I19</f>
        <v>0.13033</v>
      </c>
      <c r="J19" s="465">
        <f>'1 квартал'!J19+'2 квартал'!J19</f>
        <v>0</v>
      </c>
      <c r="K19" s="491">
        <f t="shared" si="2"/>
        <v>2.6500000000000003E-2</v>
      </c>
      <c r="L19" s="466">
        <f>'1 квартал'!L19+'2 квартал'!L19</f>
        <v>2.6500000000000003E-2</v>
      </c>
      <c r="M19" s="466">
        <f>'1 квартал'!M19+'2 квартал'!M19</f>
        <v>0</v>
      </c>
      <c r="N19" s="18">
        <f t="shared" si="4"/>
        <v>0</v>
      </c>
      <c r="O19" s="21"/>
      <c r="P19" s="18">
        <f t="shared" si="5"/>
        <v>0</v>
      </c>
      <c r="Q19" s="18"/>
      <c r="R19" s="18">
        <f t="shared" si="6"/>
        <v>0</v>
      </c>
      <c r="S19" s="18"/>
      <c r="T19" s="18"/>
      <c r="U19" s="18">
        <f t="shared" si="7"/>
        <v>0</v>
      </c>
      <c r="V19" s="18"/>
      <c r="W19" s="18">
        <f t="shared" si="8"/>
        <v>0</v>
      </c>
      <c r="X19" s="18"/>
      <c r="Y19" s="9"/>
      <c r="Z19" s="9"/>
      <c r="AA19" s="9"/>
    </row>
    <row r="20" spans="1:27" ht="15.75">
      <c r="A20" s="17"/>
      <c r="B20" s="19"/>
      <c r="C20" s="457" t="s">
        <v>21</v>
      </c>
      <c r="D20" s="478">
        <f t="shared" si="0"/>
        <v>68.561999999999998</v>
      </c>
      <c r="E20" s="18">
        <f>F20+G20</f>
        <v>0</v>
      </c>
      <c r="F20" s="20"/>
      <c r="G20" s="20"/>
      <c r="H20" s="479">
        <f t="shared" si="1"/>
        <v>58.817</v>
      </c>
      <c r="I20" s="465">
        <f>'1 квартал'!I20+'2 квартал'!I20</f>
        <v>58.817</v>
      </c>
      <c r="J20" s="465">
        <f>'1 квартал'!J20+'2 квартал'!J20</f>
        <v>0</v>
      </c>
      <c r="K20" s="491">
        <f t="shared" si="2"/>
        <v>9.7449999999999992</v>
      </c>
      <c r="L20" s="466">
        <f>'1 квартал'!L20+'2 квартал'!L20</f>
        <v>9.7449999999999992</v>
      </c>
      <c r="M20" s="466">
        <f>'1 квартал'!M20+'2 квартал'!M20</f>
        <v>0</v>
      </c>
      <c r="N20" s="18">
        <f t="shared" si="4"/>
        <v>0</v>
      </c>
      <c r="O20" s="21"/>
      <c r="P20" s="18">
        <f t="shared" si="5"/>
        <v>0</v>
      </c>
      <c r="Q20" s="18"/>
      <c r="R20" s="18">
        <f t="shared" si="6"/>
        <v>0</v>
      </c>
      <c r="S20" s="18"/>
      <c r="T20" s="18"/>
      <c r="U20" s="18">
        <f t="shared" si="7"/>
        <v>0</v>
      </c>
      <c r="V20" s="18"/>
      <c r="W20" s="18">
        <f t="shared" si="8"/>
        <v>0</v>
      </c>
      <c r="X20" s="18"/>
      <c r="Y20" s="9"/>
      <c r="Z20" s="9"/>
      <c r="AA20" s="9"/>
    </row>
    <row r="21" spans="1:27" ht="15.75">
      <c r="A21" s="17" t="s">
        <v>30</v>
      </c>
      <c r="B21" s="19" t="s">
        <v>31</v>
      </c>
      <c r="C21" s="457" t="s">
        <v>21</v>
      </c>
      <c r="D21" s="478">
        <f t="shared" si="0"/>
        <v>0</v>
      </c>
      <c r="E21" s="18">
        <v>0</v>
      </c>
      <c r="F21" s="18">
        <v>0</v>
      </c>
      <c r="G21" s="18">
        <v>0</v>
      </c>
      <c r="H21" s="479">
        <f t="shared" si="1"/>
        <v>0</v>
      </c>
      <c r="I21" s="465">
        <f>'1 квартал'!I21+'2 квартал'!I21</f>
        <v>0</v>
      </c>
      <c r="J21" s="465">
        <f>'1 квартал'!J21+'2 квартал'!J21</f>
        <v>0</v>
      </c>
      <c r="K21" s="491">
        <f t="shared" si="2"/>
        <v>0</v>
      </c>
      <c r="L21" s="466">
        <f>'1 квартал'!L21+'2 квартал'!L21</f>
        <v>0</v>
      </c>
      <c r="M21" s="466">
        <f>'1 квартал'!M21+'2 квартал'!M21</f>
        <v>0</v>
      </c>
      <c r="N21" s="18">
        <f t="shared" si="4"/>
        <v>0</v>
      </c>
      <c r="O21" s="21"/>
      <c r="P21" s="18">
        <f t="shared" si="5"/>
        <v>0</v>
      </c>
      <c r="Q21" s="18"/>
      <c r="R21" s="18">
        <f t="shared" si="6"/>
        <v>0</v>
      </c>
      <c r="S21" s="18"/>
      <c r="T21" s="18"/>
      <c r="U21" s="18">
        <f t="shared" si="7"/>
        <v>0</v>
      </c>
      <c r="V21" s="18"/>
      <c r="W21" s="18">
        <f t="shared" si="8"/>
        <v>0</v>
      </c>
      <c r="X21" s="18"/>
      <c r="Y21" s="9"/>
      <c r="Z21" s="9"/>
      <c r="AA21" s="9"/>
    </row>
    <row r="22" spans="1:27" s="15" customFormat="1" ht="14.25">
      <c r="A22" s="431">
        <v>2</v>
      </c>
      <c r="B22" s="432" t="s">
        <v>32</v>
      </c>
      <c r="C22" s="458" t="s">
        <v>33</v>
      </c>
      <c r="D22" s="478">
        <f t="shared" si="0"/>
        <v>0</v>
      </c>
      <c r="E22" s="434"/>
      <c r="F22" s="421"/>
      <c r="G22" s="421"/>
      <c r="H22" s="479">
        <f t="shared" si="1"/>
        <v>0</v>
      </c>
      <c r="I22" s="467"/>
      <c r="J22" s="485"/>
      <c r="K22" s="491">
        <f t="shared" si="2"/>
        <v>0</v>
      </c>
      <c r="L22" s="467">
        <v>0</v>
      </c>
      <c r="M22" s="421"/>
      <c r="N22" s="434">
        <f t="shared" si="4"/>
        <v>0</v>
      </c>
      <c r="O22" s="435"/>
      <c r="P22" s="434">
        <f t="shared" si="5"/>
        <v>0</v>
      </c>
      <c r="Q22" s="434"/>
      <c r="R22" s="434">
        <f t="shared" si="6"/>
        <v>0</v>
      </c>
      <c r="S22" s="434"/>
      <c r="T22" s="434"/>
      <c r="U22" s="434">
        <f t="shared" si="7"/>
        <v>0</v>
      </c>
      <c r="V22" s="434"/>
      <c r="W22" s="434">
        <f t="shared" si="8"/>
        <v>0</v>
      </c>
      <c r="X22" s="434"/>
    </row>
    <row r="23" spans="1:27" s="15" customFormat="1" ht="14.25">
      <c r="A23" s="433"/>
      <c r="B23" s="432" t="s">
        <v>34</v>
      </c>
      <c r="C23" s="458" t="s">
        <v>21</v>
      </c>
      <c r="D23" s="478">
        <f t="shared" si="0"/>
        <v>0</v>
      </c>
      <c r="E23" s="434"/>
      <c r="F23" s="421"/>
      <c r="G23" s="421"/>
      <c r="H23" s="479">
        <f t="shared" si="1"/>
        <v>0</v>
      </c>
      <c r="I23" s="467">
        <f>I25+I27+I29+I31+I32</f>
        <v>0</v>
      </c>
      <c r="J23" s="485">
        <f>J25+J27+J29+J31+J32</f>
        <v>0</v>
      </c>
      <c r="K23" s="491">
        <f t="shared" si="2"/>
        <v>0</v>
      </c>
      <c r="L23" s="467">
        <f>L25+L27+L29+L31+L32</f>
        <v>0</v>
      </c>
      <c r="M23" s="421">
        <f>M25+M27+M29+M31+M32</f>
        <v>0</v>
      </c>
      <c r="N23" s="434">
        <f t="shared" si="4"/>
        <v>0</v>
      </c>
      <c r="O23" s="435"/>
      <c r="P23" s="434">
        <f t="shared" si="5"/>
        <v>0</v>
      </c>
      <c r="Q23" s="434"/>
      <c r="R23" s="434">
        <f t="shared" si="6"/>
        <v>0</v>
      </c>
      <c r="S23" s="434"/>
      <c r="T23" s="434"/>
      <c r="U23" s="434">
        <f t="shared" si="7"/>
        <v>0</v>
      </c>
      <c r="V23" s="434"/>
      <c r="W23" s="434">
        <f t="shared" si="8"/>
        <v>0</v>
      </c>
      <c r="X23" s="434"/>
    </row>
    <row r="24" spans="1:27" ht="14.25">
      <c r="A24" s="436" t="s">
        <v>35</v>
      </c>
      <c r="B24" s="437" t="s">
        <v>36</v>
      </c>
      <c r="C24" s="459" t="s">
        <v>37</v>
      </c>
      <c r="D24" s="478">
        <f t="shared" si="0"/>
        <v>0</v>
      </c>
      <c r="E24" s="18"/>
      <c r="F24" s="20"/>
      <c r="G24" s="20"/>
      <c r="H24" s="479">
        <f t="shared" si="1"/>
        <v>0</v>
      </c>
      <c r="I24" s="468"/>
      <c r="J24" s="486"/>
      <c r="K24" s="491">
        <f t="shared" si="2"/>
        <v>0</v>
      </c>
      <c r="L24" s="468"/>
      <c r="M24" s="438"/>
      <c r="N24" s="18">
        <f t="shared" si="4"/>
        <v>0</v>
      </c>
      <c r="O24" s="21"/>
      <c r="P24" s="18">
        <f t="shared" si="5"/>
        <v>0</v>
      </c>
      <c r="Q24" s="18"/>
      <c r="R24" s="18">
        <f t="shared" si="6"/>
        <v>0</v>
      </c>
      <c r="S24" s="18"/>
      <c r="T24" s="18"/>
      <c r="U24" s="18">
        <f t="shared" si="7"/>
        <v>0</v>
      </c>
      <c r="V24" s="18"/>
      <c r="W24" s="18">
        <f t="shared" si="8"/>
        <v>0</v>
      </c>
      <c r="X24" s="18"/>
      <c r="Y24" s="9"/>
      <c r="Z24" s="9"/>
      <c r="AA24" s="9"/>
    </row>
    <row r="25" spans="1:27" ht="14.25">
      <c r="A25" s="436"/>
      <c r="B25" s="437"/>
      <c r="C25" s="459" t="s">
        <v>21</v>
      </c>
      <c r="D25" s="478">
        <f t="shared" si="0"/>
        <v>0</v>
      </c>
      <c r="E25" s="18"/>
      <c r="F25" s="20"/>
      <c r="G25" s="20"/>
      <c r="H25" s="479">
        <f t="shared" si="1"/>
        <v>0</v>
      </c>
      <c r="I25" s="468"/>
      <c r="J25" s="486"/>
      <c r="K25" s="491">
        <f t="shared" si="2"/>
        <v>0</v>
      </c>
      <c r="L25" s="468"/>
      <c r="M25" s="438"/>
      <c r="N25" s="18">
        <f t="shared" si="4"/>
        <v>0</v>
      </c>
      <c r="O25" s="21"/>
      <c r="P25" s="18">
        <f t="shared" si="5"/>
        <v>0</v>
      </c>
      <c r="Q25" s="18"/>
      <c r="R25" s="18">
        <f t="shared" si="6"/>
        <v>0</v>
      </c>
      <c r="S25" s="18"/>
      <c r="T25" s="18"/>
      <c r="U25" s="18">
        <f t="shared" si="7"/>
        <v>0</v>
      </c>
      <c r="V25" s="18"/>
      <c r="W25" s="18">
        <f t="shared" si="8"/>
        <v>0</v>
      </c>
      <c r="X25" s="18"/>
      <c r="Y25" s="9"/>
      <c r="Z25" s="9"/>
      <c r="AA25" s="9"/>
    </row>
    <row r="26" spans="1:27" ht="14.25">
      <c r="A26" s="436" t="s">
        <v>38</v>
      </c>
      <c r="B26" s="437" t="s">
        <v>39</v>
      </c>
      <c r="C26" s="459" t="s">
        <v>40</v>
      </c>
      <c r="D26" s="478">
        <f t="shared" si="0"/>
        <v>0</v>
      </c>
      <c r="E26" s="18"/>
      <c r="F26" s="20"/>
      <c r="G26" s="20"/>
      <c r="H26" s="479">
        <f t="shared" si="1"/>
        <v>0</v>
      </c>
      <c r="I26" s="468"/>
      <c r="J26" s="486"/>
      <c r="K26" s="491">
        <f t="shared" si="2"/>
        <v>0</v>
      </c>
      <c r="L26" s="468"/>
      <c r="M26" s="438"/>
      <c r="N26" s="18">
        <f t="shared" si="4"/>
        <v>0</v>
      </c>
      <c r="O26" s="21"/>
      <c r="P26" s="18">
        <f t="shared" si="5"/>
        <v>0</v>
      </c>
      <c r="Q26" s="18"/>
      <c r="R26" s="18">
        <f t="shared" si="6"/>
        <v>0</v>
      </c>
      <c r="S26" s="18"/>
      <c r="T26" s="18"/>
      <c r="U26" s="18">
        <f t="shared" si="7"/>
        <v>0</v>
      </c>
      <c r="V26" s="18"/>
      <c r="W26" s="18">
        <f t="shared" si="8"/>
        <v>0</v>
      </c>
      <c r="X26" s="18"/>
      <c r="Y26" s="9"/>
      <c r="Z26" s="9"/>
      <c r="AA26" s="9"/>
    </row>
    <row r="27" spans="1:27" ht="15.75">
      <c r="A27" s="436"/>
      <c r="B27" s="439" t="s">
        <v>41</v>
      </c>
      <c r="C27" s="459" t="s">
        <v>21</v>
      </c>
      <c r="D27" s="478">
        <f t="shared" si="0"/>
        <v>0</v>
      </c>
      <c r="E27" s="18"/>
      <c r="F27" s="20"/>
      <c r="G27" s="20"/>
      <c r="H27" s="479">
        <f t="shared" si="1"/>
        <v>0</v>
      </c>
      <c r="I27" s="468"/>
      <c r="J27" s="486"/>
      <c r="K27" s="491">
        <f t="shared" si="2"/>
        <v>0</v>
      </c>
      <c r="L27" s="468"/>
      <c r="M27" s="438"/>
      <c r="N27" s="18">
        <f t="shared" si="4"/>
        <v>0</v>
      </c>
      <c r="O27" s="21"/>
      <c r="P27" s="18">
        <f t="shared" si="5"/>
        <v>0</v>
      </c>
      <c r="Q27" s="18"/>
      <c r="R27" s="18">
        <f t="shared" si="6"/>
        <v>0</v>
      </c>
      <c r="S27" s="18"/>
      <c r="T27" s="18"/>
      <c r="U27" s="18">
        <f t="shared" si="7"/>
        <v>0</v>
      </c>
      <c r="V27" s="18"/>
      <c r="W27" s="18">
        <f t="shared" si="8"/>
        <v>0</v>
      </c>
      <c r="X27" s="18"/>
      <c r="Y27" s="9"/>
      <c r="Z27" s="9"/>
      <c r="AA27" s="9"/>
    </row>
    <row r="28" spans="1:27" ht="15.75">
      <c r="A28" s="436" t="s">
        <v>42</v>
      </c>
      <c r="B28" s="439" t="s">
        <v>43</v>
      </c>
      <c r="C28" s="459" t="s">
        <v>40</v>
      </c>
      <c r="D28" s="478">
        <f t="shared" si="0"/>
        <v>0</v>
      </c>
      <c r="E28" s="18"/>
      <c r="F28" s="20"/>
      <c r="G28" s="20"/>
      <c r="H28" s="479">
        <f t="shared" si="1"/>
        <v>0</v>
      </c>
      <c r="I28" s="468"/>
      <c r="J28" s="486"/>
      <c r="K28" s="491">
        <f t="shared" si="2"/>
        <v>0</v>
      </c>
      <c r="L28" s="468"/>
      <c r="M28" s="438"/>
      <c r="N28" s="18">
        <f t="shared" si="4"/>
        <v>0</v>
      </c>
      <c r="O28" s="21"/>
      <c r="P28" s="18">
        <f t="shared" si="5"/>
        <v>0</v>
      </c>
      <c r="Q28" s="18"/>
      <c r="R28" s="18">
        <f t="shared" si="6"/>
        <v>0</v>
      </c>
      <c r="S28" s="18"/>
      <c r="T28" s="18"/>
      <c r="U28" s="18">
        <f t="shared" si="7"/>
        <v>0</v>
      </c>
      <c r="V28" s="18"/>
      <c r="W28" s="18">
        <f t="shared" si="8"/>
        <v>0</v>
      </c>
      <c r="X28" s="18"/>
      <c r="Y28" s="9"/>
      <c r="Z28" s="9"/>
      <c r="AA28" s="9"/>
    </row>
    <row r="29" spans="1:27" ht="15.75">
      <c r="A29" s="436"/>
      <c r="B29" s="439" t="s">
        <v>44</v>
      </c>
      <c r="C29" s="459" t="s">
        <v>21</v>
      </c>
      <c r="D29" s="478">
        <f t="shared" si="0"/>
        <v>0</v>
      </c>
      <c r="E29" s="18"/>
      <c r="F29" s="20"/>
      <c r="G29" s="20"/>
      <c r="H29" s="479">
        <f t="shared" si="1"/>
        <v>0</v>
      </c>
      <c r="I29" s="468"/>
      <c r="J29" s="486"/>
      <c r="K29" s="491">
        <f t="shared" si="2"/>
        <v>0</v>
      </c>
      <c r="L29" s="468"/>
      <c r="M29" s="438"/>
      <c r="N29" s="18">
        <f t="shared" si="4"/>
        <v>0</v>
      </c>
      <c r="O29" s="21"/>
      <c r="P29" s="18">
        <f t="shared" si="5"/>
        <v>0</v>
      </c>
      <c r="Q29" s="18"/>
      <c r="R29" s="18">
        <f t="shared" si="6"/>
        <v>0</v>
      </c>
      <c r="S29" s="18"/>
      <c r="T29" s="18"/>
      <c r="U29" s="18">
        <f t="shared" si="7"/>
        <v>0</v>
      </c>
      <c r="V29" s="18"/>
      <c r="W29" s="18">
        <f t="shared" si="8"/>
        <v>0</v>
      </c>
      <c r="X29" s="18"/>
      <c r="Y29" s="9"/>
      <c r="Z29" s="9"/>
      <c r="AA29" s="9"/>
    </row>
    <row r="30" spans="1:27" ht="15.75">
      <c r="A30" s="436" t="s">
        <v>45</v>
      </c>
      <c r="B30" s="439" t="s">
        <v>46</v>
      </c>
      <c r="C30" s="459" t="s">
        <v>47</v>
      </c>
      <c r="D30" s="478">
        <f t="shared" si="0"/>
        <v>0</v>
      </c>
      <c r="E30" s="18"/>
      <c r="F30" s="20"/>
      <c r="G30" s="20"/>
      <c r="H30" s="479">
        <f t="shared" si="1"/>
        <v>0</v>
      </c>
      <c r="I30" s="468"/>
      <c r="J30" s="486"/>
      <c r="K30" s="491">
        <f t="shared" si="2"/>
        <v>0</v>
      </c>
      <c r="L30" s="468"/>
      <c r="M30" s="438"/>
      <c r="N30" s="18">
        <f t="shared" si="4"/>
        <v>0</v>
      </c>
      <c r="O30" s="21"/>
      <c r="P30" s="18">
        <f t="shared" si="5"/>
        <v>0</v>
      </c>
      <c r="Q30" s="18"/>
      <c r="R30" s="18">
        <f t="shared" si="6"/>
        <v>0</v>
      </c>
      <c r="S30" s="18"/>
      <c r="T30" s="18"/>
      <c r="U30" s="18">
        <f t="shared" si="7"/>
        <v>0</v>
      </c>
      <c r="V30" s="18"/>
      <c r="W30" s="18">
        <f t="shared" si="8"/>
        <v>0</v>
      </c>
      <c r="X30" s="18"/>
      <c r="Y30" s="9"/>
      <c r="Z30" s="9"/>
      <c r="AA30" s="9"/>
    </row>
    <row r="31" spans="1:27" ht="15.75">
      <c r="A31" s="436"/>
      <c r="B31" s="439"/>
      <c r="C31" s="459" t="s">
        <v>21</v>
      </c>
      <c r="D31" s="478">
        <f t="shared" si="0"/>
        <v>0</v>
      </c>
      <c r="E31" s="18"/>
      <c r="F31" s="20"/>
      <c r="G31" s="20"/>
      <c r="H31" s="479">
        <f t="shared" si="1"/>
        <v>0</v>
      </c>
      <c r="I31" s="468"/>
      <c r="J31" s="486"/>
      <c r="K31" s="491">
        <f t="shared" si="2"/>
        <v>0</v>
      </c>
      <c r="L31" s="468"/>
      <c r="M31" s="438"/>
      <c r="N31" s="18">
        <f t="shared" si="4"/>
        <v>0</v>
      </c>
      <c r="O31" s="21"/>
      <c r="P31" s="18">
        <f t="shared" si="5"/>
        <v>0</v>
      </c>
      <c r="Q31" s="18"/>
      <c r="R31" s="18">
        <f t="shared" si="6"/>
        <v>0</v>
      </c>
      <c r="S31" s="18"/>
      <c r="T31" s="18"/>
      <c r="U31" s="18">
        <f t="shared" si="7"/>
        <v>0</v>
      </c>
      <c r="V31" s="18"/>
      <c r="W31" s="18">
        <f t="shared" si="8"/>
        <v>0</v>
      </c>
      <c r="X31" s="18"/>
      <c r="Y31" s="9"/>
      <c r="Z31" s="9"/>
      <c r="AA31" s="9"/>
    </row>
    <row r="32" spans="1:27" ht="15.75">
      <c r="A32" s="436" t="s">
        <v>48</v>
      </c>
      <c r="B32" s="440" t="s">
        <v>49</v>
      </c>
      <c r="C32" s="459" t="s">
        <v>21</v>
      </c>
      <c r="D32" s="478">
        <f t="shared" si="0"/>
        <v>0</v>
      </c>
      <c r="E32" s="18"/>
      <c r="F32" s="20"/>
      <c r="G32" s="20"/>
      <c r="H32" s="479">
        <f t="shared" si="1"/>
        <v>0</v>
      </c>
      <c r="I32" s="468"/>
      <c r="J32" s="486"/>
      <c r="K32" s="491">
        <f t="shared" si="2"/>
        <v>0</v>
      </c>
      <c r="L32" s="468"/>
      <c r="M32" s="438"/>
      <c r="N32" s="18">
        <f t="shared" si="4"/>
        <v>0</v>
      </c>
      <c r="O32" s="21"/>
      <c r="P32" s="18">
        <f t="shared" si="5"/>
        <v>0</v>
      </c>
      <c r="Q32" s="18"/>
      <c r="R32" s="18">
        <f t="shared" si="6"/>
        <v>0</v>
      </c>
      <c r="S32" s="18"/>
      <c r="T32" s="18"/>
      <c r="U32" s="18">
        <f t="shared" si="7"/>
        <v>0</v>
      </c>
      <c r="V32" s="18"/>
      <c r="W32" s="18">
        <f t="shared" si="8"/>
        <v>0</v>
      </c>
      <c r="X32" s="18"/>
      <c r="Y32" s="9"/>
      <c r="Z32" s="9"/>
      <c r="AA32" s="9"/>
    </row>
    <row r="33" spans="1:27" ht="15.75">
      <c r="A33" s="441">
        <v>3</v>
      </c>
      <c r="B33" s="8" t="s">
        <v>50</v>
      </c>
      <c r="C33" s="457" t="s">
        <v>51</v>
      </c>
      <c r="D33" s="478">
        <f t="shared" si="0"/>
        <v>1.3446</v>
      </c>
      <c r="E33" s="18">
        <f t="shared" ref="E33:E39" si="9">F33+G33</f>
        <v>0</v>
      </c>
      <c r="F33" s="20"/>
      <c r="G33" s="20"/>
      <c r="H33" s="479">
        <f t="shared" si="1"/>
        <v>0.99360000000000004</v>
      </c>
      <c r="I33" s="466">
        <f>'1 квартал'!I33+'2 квартал'!I33</f>
        <v>0.99360000000000004</v>
      </c>
      <c r="J33" s="466">
        <f>'1 квартал'!J33+'2 квартал'!J33</f>
        <v>0</v>
      </c>
      <c r="K33" s="491">
        <f t="shared" si="2"/>
        <v>0.35100000000000003</v>
      </c>
      <c r="L33" s="466">
        <f>'1 квартал'!L33+'2 квартал'!L33</f>
        <v>0.35100000000000003</v>
      </c>
      <c r="M33" s="466">
        <f>'1 квартал'!M33+'2 квартал'!M33</f>
        <v>0</v>
      </c>
      <c r="N33" s="18">
        <v>0</v>
      </c>
      <c r="O33" s="21"/>
      <c r="P33" s="18">
        <f t="shared" si="5"/>
        <v>0</v>
      </c>
      <c r="Q33" s="18"/>
      <c r="R33" s="18">
        <f t="shared" si="6"/>
        <v>0</v>
      </c>
      <c r="S33" s="18"/>
      <c r="T33" s="18"/>
      <c r="U33" s="18">
        <f t="shared" si="7"/>
        <v>0</v>
      </c>
      <c r="V33" s="18"/>
      <c r="W33" s="18">
        <f t="shared" si="8"/>
        <v>0</v>
      </c>
      <c r="X33" s="18"/>
      <c r="Y33" s="9"/>
      <c r="Z33" s="9"/>
      <c r="AA33" s="9"/>
    </row>
    <row r="34" spans="1:27" ht="15.75">
      <c r="A34" s="17"/>
      <c r="B34" s="8" t="s">
        <v>52</v>
      </c>
      <c r="C34" s="457" t="s">
        <v>21</v>
      </c>
      <c r="D34" s="478">
        <f t="shared" si="0"/>
        <v>760.47800000000007</v>
      </c>
      <c r="E34" s="18">
        <f t="shared" si="9"/>
        <v>0</v>
      </c>
      <c r="F34" s="20"/>
      <c r="G34" s="20"/>
      <c r="H34" s="479">
        <f t="shared" si="1"/>
        <v>567.03899999999999</v>
      </c>
      <c r="I34" s="466">
        <f>'1 квартал'!I34+'2 квартал'!I34</f>
        <v>567.03899999999999</v>
      </c>
      <c r="J34" s="466">
        <f>'1 квартал'!J34+'2 квартал'!J34</f>
        <v>0</v>
      </c>
      <c r="K34" s="491">
        <f t="shared" si="2"/>
        <v>193.43900000000002</v>
      </c>
      <c r="L34" s="466">
        <f>'1 квартал'!L34+'2 квартал'!L34</f>
        <v>193.43900000000002</v>
      </c>
      <c r="M34" s="466">
        <f>'1 квартал'!M34+'2 квартал'!M34</f>
        <v>0</v>
      </c>
      <c r="N34" s="18">
        <v>0</v>
      </c>
      <c r="O34" s="21"/>
      <c r="P34" s="18">
        <f t="shared" si="5"/>
        <v>0</v>
      </c>
      <c r="Q34" s="18"/>
      <c r="R34" s="18">
        <f t="shared" si="6"/>
        <v>0</v>
      </c>
      <c r="S34" s="18"/>
      <c r="T34" s="18"/>
      <c r="U34" s="18">
        <f t="shared" si="7"/>
        <v>0</v>
      </c>
      <c r="V34" s="18"/>
      <c r="W34" s="18">
        <f t="shared" si="8"/>
        <v>0</v>
      </c>
      <c r="X34" s="18"/>
      <c r="Y34" s="9"/>
      <c r="Z34" s="9"/>
      <c r="AA34" s="9"/>
    </row>
    <row r="35" spans="1:27" ht="15.75">
      <c r="A35" s="441">
        <v>4</v>
      </c>
      <c r="B35" s="8" t="s">
        <v>53</v>
      </c>
      <c r="C35" s="457" t="s">
        <v>24</v>
      </c>
      <c r="D35" s="478">
        <f t="shared" si="0"/>
        <v>0.15600000000000003</v>
      </c>
      <c r="E35" s="18">
        <f t="shared" si="9"/>
        <v>0</v>
      </c>
      <c r="F35" s="20"/>
      <c r="G35" s="20"/>
      <c r="H35" s="479">
        <f t="shared" si="1"/>
        <v>0.15600000000000003</v>
      </c>
      <c r="I35" s="466">
        <f>'1 квартал'!I35+'2 квартал'!I35</f>
        <v>0.15600000000000003</v>
      </c>
      <c r="J35" s="466">
        <f>'1 квартал'!J35+'2 квартал'!J35</f>
        <v>0</v>
      </c>
      <c r="K35" s="491">
        <f t="shared" si="2"/>
        <v>0</v>
      </c>
      <c r="L35" s="466">
        <f>'1 квартал'!L35+'2 квартал'!L35</f>
        <v>0</v>
      </c>
      <c r="M35" s="466">
        <f>'1 квартал'!M35+'2 квартал'!M35</f>
        <v>0</v>
      </c>
      <c r="N35" s="18">
        <f t="shared" ref="N35:N71" si="10">O35</f>
        <v>0</v>
      </c>
      <c r="O35" s="21"/>
      <c r="P35" s="18">
        <f t="shared" si="5"/>
        <v>0</v>
      </c>
      <c r="Q35" s="18"/>
      <c r="R35" s="18">
        <f t="shared" si="6"/>
        <v>0</v>
      </c>
      <c r="S35" s="18"/>
      <c r="T35" s="18"/>
      <c r="U35" s="18">
        <f t="shared" si="7"/>
        <v>0</v>
      </c>
      <c r="V35" s="18"/>
      <c r="W35" s="18">
        <f t="shared" si="8"/>
        <v>0</v>
      </c>
      <c r="X35" s="18"/>
      <c r="Y35" s="9"/>
      <c r="Z35" s="9"/>
      <c r="AA35" s="9"/>
    </row>
    <row r="36" spans="1:27" ht="15.75">
      <c r="A36" s="423"/>
      <c r="B36" s="19"/>
      <c r="C36" s="457" t="s">
        <v>21</v>
      </c>
      <c r="D36" s="478">
        <f t="shared" si="0"/>
        <v>201.35799999999998</v>
      </c>
      <c r="E36" s="18">
        <f t="shared" si="9"/>
        <v>0</v>
      </c>
      <c r="F36" s="20"/>
      <c r="G36" s="20"/>
      <c r="H36" s="479">
        <f t="shared" si="1"/>
        <v>201.35799999999998</v>
      </c>
      <c r="I36" s="466">
        <f>'1 квартал'!I36+'2 квартал'!I36</f>
        <v>201.35799999999998</v>
      </c>
      <c r="J36" s="466">
        <f>'1 квартал'!J36+'2 квартал'!J36</f>
        <v>0</v>
      </c>
      <c r="K36" s="491">
        <f t="shared" si="2"/>
        <v>0</v>
      </c>
      <c r="L36" s="466">
        <f>'1 квартал'!L36+'2 квартал'!L36</f>
        <v>0</v>
      </c>
      <c r="M36" s="466">
        <f>'1 квартал'!M36+'2 квартал'!M36</f>
        <v>0</v>
      </c>
      <c r="N36" s="18">
        <f t="shared" si="10"/>
        <v>0</v>
      </c>
      <c r="O36" s="21"/>
      <c r="P36" s="18">
        <f t="shared" si="5"/>
        <v>0</v>
      </c>
      <c r="Q36" s="18"/>
      <c r="R36" s="18">
        <f t="shared" si="6"/>
        <v>0</v>
      </c>
      <c r="S36" s="18"/>
      <c r="T36" s="18"/>
      <c r="U36" s="18">
        <f t="shared" si="7"/>
        <v>0</v>
      </c>
      <c r="V36" s="18"/>
      <c r="W36" s="18">
        <f t="shared" si="8"/>
        <v>0</v>
      </c>
      <c r="X36" s="18"/>
      <c r="Y36" s="9"/>
      <c r="Z36" s="9"/>
      <c r="AA36" s="9"/>
    </row>
    <row r="37" spans="1:27" ht="15.75">
      <c r="A37" s="441">
        <v>5</v>
      </c>
      <c r="B37" s="8" t="s">
        <v>54</v>
      </c>
      <c r="C37" s="457" t="s">
        <v>24</v>
      </c>
      <c r="D37" s="478">
        <f t="shared" si="0"/>
        <v>2.0868000000000002</v>
      </c>
      <c r="E37" s="18">
        <f t="shared" si="9"/>
        <v>0</v>
      </c>
      <c r="F37" s="20"/>
      <c r="G37" s="20"/>
      <c r="H37" s="479">
        <f t="shared" si="1"/>
        <v>2.0868000000000002</v>
      </c>
      <c r="I37" s="466">
        <f>'1 квартал'!I37+'2 квартал'!I37</f>
        <v>2.0868000000000002</v>
      </c>
      <c r="J37" s="466">
        <f>'1 квартал'!J37+'2 квартал'!J37</f>
        <v>0</v>
      </c>
      <c r="K37" s="491">
        <f t="shared" si="2"/>
        <v>0</v>
      </c>
      <c r="L37" s="466">
        <f>'1 квартал'!L37+'2 квартал'!L37</f>
        <v>0</v>
      </c>
      <c r="M37" s="466">
        <f>'1 квартал'!M37+'2 квартал'!M37</f>
        <v>0</v>
      </c>
      <c r="N37" s="18">
        <f t="shared" si="10"/>
        <v>0</v>
      </c>
      <c r="O37" s="21"/>
      <c r="P37" s="18">
        <f t="shared" si="5"/>
        <v>0</v>
      </c>
      <c r="Q37" s="18"/>
      <c r="R37" s="18">
        <f t="shared" si="6"/>
        <v>0</v>
      </c>
      <c r="S37" s="18"/>
      <c r="T37" s="18"/>
      <c r="U37" s="18">
        <f t="shared" si="7"/>
        <v>0</v>
      </c>
      <c r="V37" s="18"/>
      <c r="W37" s="18">
        <f t="shared" si="8"/>
        <v>0</v>
      </c>
      <c r="X37" s="18"/>
      <c r="Y37" s="9"/>
      <c r="Z37" s="9"/>
      <c r="AA37" s="9"/>
    </row>
    <row r="38" spans="1:27" ht="15.75">
      <c r="A38" s="423"/>
      <c r="B38" s="8" t="s">
        <v>55</v>
      </c>
      <c r="C38" s="457" t="s">
        <v>56</v>
      </c>
      <c r="D38" s="478">
        <f t="shared" si="0"/>
        <v>5</v>
      </c>
      <c r="E38" s="18">
        <f t="shared" si="9"/>
        <v>0</v>
      </c>
      <c r="F38" s="20"/>
      <c r="G38" s="20"/>
      <c r="H38" s="479">
        <f t="shared" si="1"/>
        <v>5</v>
      </c>
      <c r="I38" s="466">
        <f>'1 квартал'!I38+'2 квартал'!I38</f>
        <v>5</v>
      </c>
      <c r="J38" s="466">
        <f>'1 квартал'!J38+'2 квартал'!J38</f>
        <v>0</v>
      </c>
      <c r="K38" s="491">
        <f t="shared" si="2"/>
        <v>0</v>
      </c>
      <c r="L38" s="466">
        <f>'1 квартал'!L38+'2 квартал'!L38</f>
        <v>0</v>
      </c>
      <c r="M38" s="466">
        <f>'1 квартал'!M38+'2 квартал'!M38</f>
        <v>0</v>
      </c>
      <c r="N38" s="18">
        <f t="shared" si="10"/>
        <v>0</v>
      </c>
      <c r="O38" s="21"/>
      <c r="P38" s="18">
        <f t="shared" si="5"/>
        <v>0</v>
      </c>
      <c r="Q38" s="18"/>
      <c r="R38" s="18">
        <f t="shared" si="6"/>
        <v>0</v>
      </c>
      <c r="S38" s="18"/>
      <c r="T38" s="18"/>
      <c r="U38" s="18">
        <f t="shared" si="7"/>
        <v>0</v>
      </c>
      <c r="V38" s="18"/>
      <c r="W38" s="18">
        <f t="shared" si="8"/>
        <v>0</v>
      </c>
      <c r="X38" s="18"/>
      <c r="Y38" s="9"/>
      <c r="Z38" s="9"/>
      <c r="AA38" s="9"/>
    </row>
    <row r="39" spans="1:27" ht="15.75">
      <c r="A39" s="423"/>
      <c r="B39" s="8"/>
      <c r="C39" s="457" t="s">
        <v>21</v>
      </c>
      <c r="D39" s="478">
        <f t="shared" si="0"/>
        <v>657.05199999999991</v>
      </c>
      <c r="E39" s="18">
        <f t="shared" si="9"/>
        <v>0</v>
      </c>
      <c r="F39" s="20"/>
      <c r="G39" s="20"/>
      <c r="H39" s="479">
        <f t="shared" si="1"/>
        <v>657.05199999999991</v>
      </c>
      <c r="I39" s="466">
        <f>'1 квартал'!I39+'2 квартал'!I39</f>
        <v>657.05199999999991</v>
      </c>
      <c r="J39" s="466">
        <f>'1 квартал'!J39+'2 квартал'!J39</f>
        <v>0</v>
      </c>
      <c r="K39" s="491">
        <f t="shared" si="2"/>
        <v>0</v>
      </c>
      <c r="L39" s="466">
        <f>'1 квартал'!L39+'2 квартал'!L39</f>
        <v>0</v>
      </c>
      <c r="M39" s="466">
        <f>'1 квартал'!M39+'2 квартал'!M39</f>
        <v>0</v>
      </c>
      <c r="N39" s="18">
        <f t="shared" si="10"/>
        <v>0</v>
      </c>
      <c r="O39" s="21"/>
      <c r="P39" s="18">
        <f t="shared" si="5"/>
        <v>0</v>
      </c>
      <c r="Q39" s="18"/>
      <c r="R39" s="18">
        <f t="shared" si="6"/>
        <v>0</v>
      </c>
      <c r="S39" s="18"/>
      <c r="T39" s="18"/>
      <c r="U39" s="18">
        <f t="shared" si="7"/>
        <v>0</v>
      </c>
      <c r="V39" s="18"/>
      <c r="W39" s="18">
        <f t="shared" si="8"/>
        <v>0</v>
      </c>
      <c r="X39" s="18"/>
      <c r="Y39" s="9"/>
      <c r="Z39" s="9"/>
      <c r="AA39" s="9"/>
    </row>
    <row r="40" spans="1:27" ht="31.5">
      <c r="A40" s="423" t="s">
        <v>57</v>
      </c>
      <c r="B40" s="442" t="s">
        <v>58</v>
      </c>
      <c r="C40" s="457" t="s">
        <v>24</v>
      </c>
      <c r="D40" s="478">
        <f t="shared" si="0"/>
        <v>0.01</v>
      </c>
      <c r="E40" s="18"/>
      <c r="F40" s="20"/>
      <c r="G40" s="20"/>
      <c r="H40" s="479">
        <f t="shared" si="1"/>
        <v>0.01</v>
      </c>
      <c r="I40" s="466">
        <f>'1 квартал'!I40+'2 квартал'!I40</f>
        <v>0.01</v>
      </c>
      <c r="J40" s="466">
        <f>'1 квартал'!J40+'2 квартал'!J40</f>
        <v>0</v>
      </c>
      <c r="K40" s="491">
        <f t="shared" si="2"/>
        <v>0</v>
      </c>
      <c r="L40" s="466">
        <f>'1 квартал'!L40+'2 квартал'!L40</f>
        <v>0</v>
      </c>
      <c r="M40" s="466">
        <f>'1 квартал'!M40+'2 квартал'!M40</f>
        <v>0</v>
      </c>
      <c r="N40" s="18">
        <f t="shared" si="10"/>
        <v>0</v>
      </c>
      <c r="O40" s="21"/>
      <c r="P40" s="18">
        <f t="shared" si="5"/>
        <v>0</v>
      </c>
      <c r="Q40" s="18"/>
      <c r="R40" s="18">
        <f t="shared" si="6"/>
        <v>0</v>
      </c>
      <c r="S40" s="18"/>
      <c r="T40" s="18"/>
      <c r="U40" s="18">
        <f t="shared" si="7"/>
        <v>0</v>
      </c>
      <c r="V40" s="18"/>
      <c r="W40" s="18"/>
      <c r="X40" s="18"/>
      <c r="Y40" s="9"/>
      <c r="Z40" s="9"/>
      <c r="AA40" s="9"/>
    </row>
    <row r="41" spans="1:27" ht="15.75">
      <c r="A41" s="423"/>
      <c r="B41" s="8"/>
      <c r="C41" s="457" t="s">
        <v>21</v>
      </c>
      <c r="D41" s="478">
        <f t="shared" si="0"/>
        <v>1.365</v>
      </c>
      <c r="E41" s="18"/>
      <c r="F41" s="20"/>
      <c r="G41" s="20"/>
      <c r="H41" s="479">
        <f t="shared" si="1"/>
        <v>1.365</v>
      </c>
      <c r="I41" s="466">
        <f>'1 квартал'!I41+'2 квартал'!I41</f>
        <v>1.365</v>
      </c>
      <c r="J41" s="466">
        <f>'1 квартал'!J41+'2 квартал'!J41</f>
        <v>0</v>
      </c>
      <c r="K41" s="491">
        <f t="shared" si="2"/>
        <v>0</v>
      </c>
      <c r="L41" s="466">
        <f>'1 квартал'!L41+'2 квартал'!L41</f>
        <v>0</v>
      </c>
      <c r="M41" s="466">
        <f>'1 квартал'!M41+'2 квартал'!M41</f>
        <v>0</v>
      </c>
      <c r="N41" s="18">
        <f t="shared" si="10"/>
        <v>0</v>
      </c>
      <c r="O41" s="21"/>
      <c r="P41" s="18">
        <f t="shared" si="5"/>
        <v>0</v>
      </c>
      <c r="Q41" s="18"/>
      <c r="R41" s="18">
        <f t="shared" si="6"/>
        <v>0</v>
      </c>
      <c r="S41" s="18"/>
      <c r="T41" s="18"/>
      <c r="U41" s="18">
        <f t="shared" si="7"/>
        <v>0</v>
      </c>
      <c r="V41" s="18"/>
      <c r="W41" s="18"/>
      <c r="X41" s="18"/>
      <c r="Y41" s="9"/>
      <c r="Z41" s="9"/>
      <c r="AA41" s="9"/>
    </row>
    <row r="42" spans="1:27" ht="35.25" customHeight="1">
      <c r="A42" s="21"/>
      <c r="B42" s="442" t="s">
        <v>59</v>
      </c>
      <c r="C42" s="457" t="s">
        <v>24</v>
      </c>
      <c r="D42" s="478">
        <f t="shared" si="0"/>
        <v>0.20261500000000002</v>
      </c>
      <c r="E42" s="18"/>
      <c r="F42" s="20"/>
      <c r="G42" s="20"/>
      <c r="H42" s="479">
        <f t="shared" si="1"/>
        <v>0.20261500000000002</v>
      </c>
      <c r="I42" s="466">
        <f>'1 квартал'!I42+'2 квартал'!I42</f>
        <v>0.19761500000000001</v>
      </c>
      <c r="J42" s="466">
        <f>'1 квартал'!J42+'2 квартал'!J42</f>
        <v>5.0000000000000001E-3</v>
      </c>
      <c r="K42" s="491">
        <f t="shared" si="2"/>
        <v>0</v>
      </c>
      <c r="L42" s="466">
        <f>'1 квартал'!L42+'2 квартал'!L42</f>
        <v>0</v>
      </c>
      <c r="M42" s="466">
        <f>'1 квартал'!M42+'2 квартал'!M42</f>
        <v>0</v>
      </c>
      <c r="N42" s="18">
        <f t="shared" si="10"/>
        <v>0</v>
      </c>
      <c r="O42" s="21"/>
      <c r="P42" s="18">
        <f t="shared" si="5"/>
        <v>0</v>
      </c>
      <c r="Q42" s="18"/>
      <c r="R42" s="18">
        <f t="shared" si="6"/>
        <v>0</v>
      </c>
      <c r="S42" s="18"/>
      <c r="T42" s="18"/>
      <c r="U42" s="18">
        <f t="shared" si="7"/>
        <v>0</v>
      </c>
      <c r="V42" s="18"/>
      <c r="W42" s="18"/>
      <c r="X42" s="18"/>
      <c r="Y42" s="9"/>
      <c r="Z42" s="9"/>
      <c r="AA42" s="9"/>
    </row>
    <row r="43" spans="1:27" ht="21" customHeight="1">
      <c r="A43" s="423"/>
      <c r="B43" s="8"/>
      <c r="C43" s="457" t="s">
        <v>21</v>
      </c>
      <c r="D43" s="478">
        <f t="shared" si="0"/>
        <v>230.84200000000001</v>
      </c>
      <c r="E43" s="18"/>
      <c r="F43" s="20"/>
      <c r="G43" s="20"/>
      <c r="H43" s="479">
        <f t="shared" si="1"/>
        <v>230.84200000000001</v>
      </c>
      <c r="I43" s="466">
        <f>'1 квартал'!I43+'2 квартал'!I43</f>
        <v>200.93</v>
      </c>
      <c r="J43" s="466">
        <f>'1 квартал'!J43+'2 квартал'!J43</f>
        <v>29.911999999999999</v>
      </c>
      <c r="K43" s="491">
        <f t="shared" si="2"/>
        <v>0</v>
      </c>
      <c r="L43" s="466">
        <f>'1 квартал'!L43+'2 квартал'!L43</f>
        <v>0</v>
      </c>
      <c r="M43" s="466">
        <f>'1 квартал'!M43+'2 квартал'!M43</f>
        <v>0</v>
      </c>
      <c r="N43" s="18">
        <f t="shared" si="10"/>
        <v>0</v>
      </c>
      <c r="O43" s="21"/>
      <c r="P43" s="18">
        <f t="shared" si="5"/>
        <v>0</v>
      </c>
      <c r="Q43" s="18"/>
      <c r="R43" s="18">
        <f t="shared" si="6"/>
        <v>0</v>
      </c>
      <c r="S43" s="18"/>
      <c r="T43" s="18"/>
      <c r="U43" s="18">
        <f t="shared" si="7"/>
        <v>0</v>
      </c>
      <c r="V43" s="18"/>
      <c r="W43" s="18"/>
      <c r="X43" s="18"/>
      <c r="Y43" s="9"/>
      <c r="Z43" s="9"/>
      <c r="AA43" s="9"/>
    </row>
    <row r="44" spans="1:27" ht="15.75">
      <c r="A44" s="441">
        <v>7</v>
      </c>
      <c r="B44" s="8" t="s">
        <v>60</v>
      </c>
      <c r="C44" s="457" t="s">
        <v>47</v>
      </c>
      <c r="D44" s="478">
        <f t="shared" si="0"/>
        <v>55</v>
      </c>
      <c r="E44" s="18">
        <f t="shared" ref="E44:E59" si="11">F44+G44</f>
        <v>0</v>
      </c>
      <c r="F44" s="20"/>
      <c r="G44" s="20"/>
      <c r="H44" s="479">
        <f t="shared" si="1"/>
        <v>55</v>
      </c>
      <c r="I44" s="466">
        <f>'1 квартал'!I44+'2 квартал'!I44</f>
        <v>55</v>
      </c>
      <c r="J44" s="466">
        <f>'1 квартал'!J44+'2 квартал'!J44</f>
        <v>0</v>
      </c>
      <c r="K44" s="491">
        <f t="shared" si="2"/>
        <v>0</v>
      </c>
      <c r="L44" s="466">
        <f>'1 квартал'!L44+'2 квартал'!L44</f>
        <v>0</v>
      </c>
      <c r="M44" s="466">
        <f>'1 квартал'!M44+'2 квартал'!M44</f>
        <v>0</v>
      </c>
      <c r="N44" s="18">
        <f t="shared" si="10"/>
        <v>0</v>
      </c>
      <c r="O44" s="21"/>
      <c r="P44" s="18">
        <f t="shared" si="5"/>
        <v>0</v>
      </c>
      <c r="Q44" s="18"/>
      <c r="R44" s="18">
        <f t="shared" si="6"/>
        <v>0</v>
      </c>
      <c r="S44" s="18"/>
      <c r="T44" s="18"/>
      <c r="U44" s="18">
        <f t="shared" si="7"/>
        <v>0</v>
      </c>
      <c r="V44" s="18"/>
      <c r="W44" s="18">
        <f t="shared" ref="W44:W71" si="12">X44</f>
        <v>0</v>
      </c>
      <c r="X44" s="18"/>
      <c r="Y44" s="9"/>
      <c r="Z44" s="9"/>
      <c r="AA44" s="9"/>
    </row>
    <row r="45" spans="1:27" ht="15.75">
      <c r="A45" s="17"/>
      <c r="B45" s="8" t="s">
        <v>61</v>
      </c>
      <c r="C45" s="457" t="s">
        <v>21</v>
      </c>
      <c r="D45" s="478">
        <f t="shared" si="0"/>
        <v>72.66</v>
      </c>
      <c r="E45" s="18">
        <f t="shared" si="11"/>
        <v>0</v>
      </c>
      <c r="F45" s="20"/>
      <c r="G45" s="20"/>
      <c r="H45" s="479">
        <f t="shared" si="1"/>
        <v>72.66</v>
      </c>
      <c r="I45" s="466">
        <f>'1 квартал'!I45+'2 квартал'!I45</f>
        <v>72.66</v>
      </c>
      <c r="J45" s="466">
        <f>'1 квартал'!J45+'2 квартал'!J45</f>
        <v>0</v>
      </c>
      <c r="K45" s="491">
        <f t="shared" si="2"/>
        <v>0</v>
      </c>
      <c r="L45" s="466">
        <f>'1 квартал'!L45+'2 квартал'!L45</f>
        <v>0</v>
      </c>
      <c r="M45" s="466">
        <f>'1 квартал'!M45+'2 квартал'!M45</f>
        <v>0</v>
      </c>
      <c r="N45" s="18">
        <f t="shared" si="10"/>
        <v>0</v>
      </c>
      <c r="O45" s="21"/>
      <c r="P45" s="18">
        <f t="shared" si="5"/>
        <v>0</v>
      </c>
      <c r="Q45" s="18"/>
      <c r="R45" s="18">
        <f t="shared" si="6"/>
        <v>0</v>
      </c>
      <c r="S45" s="18"/>
      <c r="T45" s="18"/>
      <c r="U45" s="18">
        <f t="shared" si="7"/>
        <v>0</v>
      </c>
      <c r="V45" s="18"/>
      <c r="W45" s="18">
        <f t="shared" si="12"/>
        <v>0</v>
      </c>
      <c r="X45" s="18"/>
      <c r="Y45" s="9"/>
      <c r="Z45" s="9"/>
      <c r="AA45" s="9"/>
    </row>
    <row r="46" spans="1:27" ht="15.75">
      <c r="A46" s="441">
        <v>8</v>
      </c>
      <c r="B46" s="8" t="s">
        <v>62</v>
      </c>
      <c r="C46" s="457" t="s">
        <v>47</v>
      </c>
      <c r="D46" s="478">
        <f t="shared" si="0"/>
        <v>0</v>
      </c>
      <c r="E46" s="18">
        <f t="shared" si="11"/>
        <v>0</v>
      </c>
      <c r="F46" s="20"/>
      <c r="G46" s="20"/>
      <c r="H46" s="479">
        <f t="shared" si="1"/>
        <v>0</v>
      </c>
      <c r="I46" s="466">
        <f>'1 квартал'!I46+'2 квартал'!I46</f>
        <v>0</v>
      </c>
      <c r="J46" s="466">
        <f>'1 квартал'!J46+'2 квартал'!J46</f>
        <v>0</v>
      </c>
      <c r="K46" s="491">
        <f t="shared" si="2"/>
        <v>0</v>
      </c>
      <c r="L46" s="466">
        <f>'1 квартал'!L46+'2 квартал'!L46</f>
        <v>0</v>
      </c>
      <c r="M46" s="466">
        <f>'1 квартал'!M46+'2 квартал'!M46</f>
        <v>0</v>
      </c>
      <c r="N46" s="18">
        <f t="shared" si="10"/>
        <v>0</v>
      </c>
      <c r="O46" s="21"/>
      <c r="P46" s="18">
        <f t="shared" si="5"/>
        <v>0</v>
      </c>
      <c r="Q46" s="18"/>
      <c r="R46" s="18">
        <f t="shared" si="6"/>
        <v>0</v>
      </c>
      <c r="S46" s="18"/>
      <c r="T46" s="18"/>
      <c r="U46" s="18">
        <f t="shared" si="7"/>
        <v>0</v>
      </c>
      <c r="V46" s="18"/>
      <c r="W46" s="18">
        <f t="shared" si="12"/>
        <v>0</v>
      </c>
      <c r="X46" s="18"/>
      <c r="Y46" s="9"/>
      <c r="Z46" s="9"/>
      <c r="AA46" s="9"/>
    </row>
    <row r="47" spans="1:27" ht="15.75">
      <c r="A47" s="441"/>
      <c r="B47" s="8" t="s">
        <v>63</v>
      </c>
      <c r="C47" s="457" t="s">
        <v>21</v>
      </c>
      <c r="D47" s="478">
        <f t="shared" si="0"/>
        <v>0</v>
      </c>
      <c r="E47" s="18">
        <f t="shared" si="11"/>
        <v>0</v>
      </c>
      <c r="F47" s="20"/>
      <c r="G47" s="20"/>
      <c r="H47" s="479">
        <f t="shared" si="1"/>
        <v>0</v>
      </c>
      <c r="I47" s="466">
        <f>'1 квартал'!I47+'2 квартал'!I47</f>
        <v>0</v>
      </c>
      <c r="J47" s="466">
        <f>'1 квартал'!J47+'2 квартал'!J47</f>
        <v>0</v>
      </c>
      <c r="K47" s="491">
        <f t="shared" si="2"/>
        <v>0</v>
      </c>
      <c r="L47" s="466">
        <f>'1 квартал'!L47+'2 квартал'!L47</f>
        <v>0</v>
      </c>
      <c r="M47" s="466">
        <f>'1 квартал'!M47+'2 квартал'!M47</f>
        <v>0</v>
      </c>
      <c r="N47" s="18">
        <f t="shared" si="10"/>
        <v>0</v>
      </c>
      <c r="O47" s="21"/>
      <c r="P47" s="18">
        <f t="shared" si="5"/>
        <v>0</v>
      </c>
      <c r="Q47" s="18"/>
      <c r="R47" s="18">
        <f t="shared" si="6"/>
        <v>0</v>
      </c>
      <c r="S47" s="18"/>
      <c r="T47" s="18"/>
      <c r="U47" s="18">
        <f t="shared" si="7"/>
        <v>0</v>
      </c>
      <c r="V47" s="18"/>
      <c r="W47" s="18">
        <f t="shared" si="12"/>
        <v>0</v>
      </c>
      <c r="X47" s="18"/>
      <c r="Y47" s="9"/>
      <c r="Z47" s="9"/>
      <c r="AA47" s="9"/>
    </row>
    <row r="48" spans="1:27" ht="15.75">
      <c r="A48" s="441">
        <v>9</v>
      </c>
      <c r="B48" s="8" t="s">
        <v>64</v>
      </c>
      <c r="C48" s="457" t="s">
        <v>51</v>
      </c>
      <c r="D48" s="478">
        <f t="shared" si="0"/>
        <v>0</v>
      </c>
      <c r="E48" s="18">
        <f t="shared" si="11"/>
        <v>0</v>
      </c>
      <c r="F48" s="20"/>
      <c r="G48" s="20"/>
      <c r="H48" s="479">
        <f t="shared" si="1"/>
        <v>0</v>
      </c>
      <c r="I48" s="466">
        <f>'1 квартал'!I48+'2 квартал'!I48</f>
        <v>0</v>
      </c>
      <c r="J48" s="466">
        <f>'1 квартал'!J48+'2 квартал'!J48</f>
        <v>0</v>
      </c>
      <c r="K48" s="491">
        <f t="shared" si="2"/>
        <v>0</v>
      </c>
      <c r="L48" s="466">
        <f>'1 квартал'!L48+'2 квартал'!L48</f>
        <v>0</v>
      </c>
      <c r="M48" s="466">
        <f>'1 квартал'!M48+'2 квартал'!M48</f>
        <v>0</v>
      </c>
      <c r="N48" s="18">
        <f t="shared" si="10"/>
        <v>0</v>
      </c>
      <c r="O48" s="21"/>
      <c r="P48" s="18">
        <f t="shared" si="5"/>
        <v>0</v>
      </c>
      <c r="Q48" s="18"/>
      <c r="R48" s="18">
        <f t="shared" si="6"/>
        <v>0</v>
      </c>
      <c r="S48" s="18"/>
      <c r="T48" s="18"/>
      <c r="U48" s="18">
        <f t="shared" si="7"/>
        <v>0</v>
      </c>
      <c r="V48" s="18"/>
      <c r="W48" s="18">
        <f t="shared" si="12"/>
        <v>0</v>
      </c>
      <c r="X48" s="18"/>
      <c r="Y48" s="9"/>
      <c r="Z48" s="9"/>
      <c r="AA48" s="9"/>
    </row>
    <row r="49" spans="1:27" ht="15.75">
      <c r="A49" s="441"/>
      <c r="B49" s="19"/>
      <c r="C49" s="457" t="s">
        <v>21</v>
      </c>
      <c r="D49" s="478">
        <f t="shared" si="0"/>
        <v>0</v>
      </c>
      <c r="E49" s="18">
        <f t="shared" si="11"/>
        <v>0</v>
      </c>
      <c r="F49" s="20"/>
      <c r="G49" s="20"/>
      <c r="H49" s="479">
        <f t="shared" si="1"/>
        <v>0</v>
      </c>
      <c r="I49" s="466">
        <f>'1 квартал'!I49+'2 квартал'!I49</f>
        <v>0</v>
      </c>
      <c r="J49" s="466">
        <f>'1 квартал'!J49+'2 квартал'!J49</f>
        <v>0</v>
      </c>
      <c r="K49" s="491">
        <f t="shared" si="2"/>
        <v>0</v>
      </c>
      <c r="L49" s="466">
        <f>'1 квартал'!L49+'2 квартал'!L49</f>
        <v>0</v>
      </c>
      <c r="M49" s="466">
        <f>'1 квартал'!M49+'2 квартал'!M49</f>
        <v>0</v>
      </c>
      <c r="N49" s="18">
        <f t="shared" si="10"/>
        <v>0</v>
      </c>
      <c r="O49" s="21"/>
      <c r="P49" s="18">
        <f t="shared" si="5"/>
        <v>0</v>
      </c>
      <c r="Q49" s="18"/>
      <c r="R49" s="18">
        <f t="shared" si="6"/>
        <v>0</v>
      </c>
      <c r="S49" s="18"/>
      <c r="T49" s="18"/>
      <c r="U49" s="18">
        <f t="shared" si="7"/>
        <v>0</v>
      </c>
      <c r="V49" s="18"/>
      <c r="W49" s="18">
        <f t="shared" si="12"/>
        <v>0</v>
      </c>
      <c r="X49" s="18"/>
      <c r="Y49" s="9"/>
      <c r="Z49" s="9"/>
      <c r="AA49" s="9"/>
    </row>
    <row r="50" spans="1:27" ht="15.75">
      <c r="A50" s="441">
        <v>10</v>
      </c>
      <c r="B50" s="8" t="s">
        <v>65</v>
      </c>
      <c r="C50" s="457" t="s">
        <v>47</v>
      </c>
      <c r="D50" s="478">
        <f t="shared" si="0"/>
        <v>42</v>
      </c>
      <c r="E50" s="18">
        <f t="shared" si="11"/>
        <v>0</v>
      </c>
      <c r="F50" s="20"/>
      <c r="G50" s="20"/>
      <c r="H50" s="479">
        <f t="shared" si="1"/>
        <v>39</v>
      </c>
      <c r="I50" s="466">
        <f>'1 квартал'!I50+'2 квартал'!I50</f>
        <v>31</v>
      </c>
      <c r="J50" s="466">
        <f>'1 квартал'!J50+'2 квартал'!J50</f>
        <v>8</v>
      </c>
      <c r="K50" s="491">
        <f t="shared" si="2"/>
        <v>3</v>
      </c>
      <c r="L50" s="466">
        <f>'1 квартал'!L50+'2 квартал'!L50</f>
        <v>3</v>
      </c>
      <c r="M50" s="466">
        <f>'1 квартал'!M50+'2 квартал'!M50</f>
        <v>0</v>
      </c>
      <c r="N50" s="18">
        <f t="shared" si="10"/>
        <v>0</v>
      </c>
      <c r="O50" s="21"/>
      <c r="P50" s="18">
        <f t="shared" si="5"/>
        <v>0</v>
      </c>
      <c r="Q50" s="18"/>
      <c r="R50" s="18">
        <f t="shared" si="6"/>
        <v>0</v>
      </c>
      <c r="S50" s="18"/>
      <c r="T50" s="18"/>
      <c r="U50" s="18">
        <f t="shared" si="7"/>
        <v>0</v>
      </c>
      <c r="V50" s="18"/>
      <c r="W50" s="18">
        <f t="shared" si="12"/>
        <v>0</v>
      </c>
      <c r="X50" s="18"/>
      <c r="Y50" s="9"/>
      <c r="Z50" s="9"/>
      <c r="AA50" s="9"/>
    </row>
    <row r="51" spans="1:27" ht="15.75">
      <c r="A51" s="441"/>
      <c r="B51" s="8" t="s">
        <v>66</v>
      </c>
      <c r="C51" s="457" t="s">
        <v>21</v>
      </c>
      <c r="D51" s="478">
        <f t="shared" si="0"/>
        <v>1041.6699999999998</v>
      </c>
      <c r="E51" s="18">
        <f t="shared" si="11"/>
        <v>0</v>
      </c>
      <c r="F51" s="20"/>
      <c r="G51" s="20"/>
      <c r="H51" s="479">
        <f t="shared" si="1"/>
        <v>1038.1959999999999</v>
      </c>
      <c r="I51" s="466">
        <f>'1 квартал'!I51+'2 квартал'!I51</f>
        <v>480.23199999999997</v>
      </c>
      <c r="J51" s="466">
        <f>'1 квартал'!J51+'2 квартал'!J51</f>
        <v>557.96399999999994</v>
      </c>
      <c r="K51" s="491">
        <f t="shared" si="2"/>
        <v>3.4740000000000002</v>
      </c>
      <c r="L51" s="466">
        <f>'1 квартал'!L51+'2 квартал'!L51</f>
        <v>3.4740000000000002</v>
      </c>
      <c r="M51" s="466">
        <f>'1 квартал'!M51+'2 квартал'!M51</f>
        <v>0</v>
      </c>
      <c r="N51" s="18">
        <f t="shared" si="10"/>
        <v>0</v>
      </c>
      <c r="O51" s="21"/>
      <c r="P51" s="18">
        <f t="shared" si="5"/>
        <v>0</v>
      </c>
      <c r="Q51" s="18"/>
      <c r="R51" s="18">
        <f t="shared" si="6"/>
        <v>0</v>
      </c>
      <c r="S51" s="18"/>
      <c r="T51" s="18"/>
      <c r="U51" s="18">
        <f t="shared" si="7"/>
        <v>0</v>
      </c>
      <c r="V51" s="18"/>
      <c r="W51" s="18">
        <f t="shared" si="12"/>
        <v>0</v>
      </c>
      <c r="X51" s="18"/>
      <c r="Y51" s="9"/>
      <c r="Z51" s="9"/>
      <c r="AA51" s="9"/>
    </row>
    <row r="52" spans="1:27" ht="15.75">
      <c r="A52" s="441">
        <v>11</v>
      </c>
      <c r="B52" s="8" t="s">
        <v>67</v>
      </c>
      <c r="C52" s="457" t="s">
        <v>47</v>
      </c>
      <c r="D52" s="478">
        <f t="shared" si="0"/>
        <v>51</v>
      </c>
      <c r="E52" s="18">
        <f t="shared" si="11"/>
        <v>0</v>
      </c>
      <c r="F52" s="20"/>
      <c r="G52" s="20"/>
      <c r="H52" s="479">
        <f t="shared" si="1"/>
        <v>48</v>
      </c>
      <c r="I52" s="466">
        <f>'1 квартал'!I52+'2 квартал'!I52</f>
        <v>44</v>
      </c>
      <c r="J52" s="466">
        <f>'1 квартал'!J52+'2 квартал'!J52</f>
        <v>4</v>
      </c>
      <c r="K52" s="491">
        <f t="shared" si="2"/>
        <v>3</v>
      </c>
      <c r="L52" s="466">
        <f>'1 квартал'!L52+'2 квартал'!L52</f>
        <v>3</v>
      </c>
      <c r="M52" s="466">
        <f>'1 квартал'!M52+'2 квартал'!M52</f>
        <v>0</v>
      </c>
      <c r="N52" s="18">
        <f t="shared" si="10"/>
        <v>0</v>
      </c>
      <c r="O52" s="21"/>
      <c r="P52" s="18">
        <f t="shared" si="5"/>
        <v>0</v>
      </c>
      <c r="Q52" s="18"/>
      <c r="R52" s="18">
        <f t="shared" si="6"/>
        <v>0</v>
      </c>
      <c r="S52" s="18"/>
      <c r="T52" s="18"/>
      <c r="U52" s="18">
        <f t="shared" si="7"/>
        <v>0</v>
      </c>
      <c r="V52" s="18"/>
      <c r="W52" s="18">
        <f t="shared" si="12"/>
        <v>0</v>
      </c>
      <c r="X52" s="18"/>
      <c r="Y52" s="9"/>
      <c r="Z52" s="9"/>
      <c r="AA52" s="9"/>
    </row>
    <row r="53" spans="1:27" ht="20.25" customHeight="1">
      <c r="A53" s="441"/>
      <c r="B53" s="19"/>
      <c r="C53" s="457" t="s">
        <v>21</v>
      </c>
      <c r="D53" s="478">
        <f t="shared" si="0"/>
        <v>694.35900000000004</v>
      </c>
      <c r="E53" s="18">
        <f t="shared" si="11"/>
        <v>0</v>
      </c>
      <c r="F53" s="20"/>
      <c r="G53" s="20"/>
      <c r="H53" s="479">
        <f t="shared" si="1"/>
        <v>674.94200000000001</v>
      </c>
      <c r="I53" s="466">
        <f>'1 квартал'!I53+'2 квартал'!I53</f>
        <v>550.74200000000008</v>
      </c>
      <c r="J53" s="466">
        <f>'1 квартал'!J53+'2 квартал'!J53</f>
        <v>124.19999999999999</v>
      </c>
      <c r="K53" s="491">
        <f t="shared" si="2"/>
        <v>19.417000000000002</v>
      </c>
      <c r="L53" s="466">
        <f>'1 квартал'!L53+'2 квартал'!L53</f>
        <v>19.417000000000002</v>
      </c>
      <c r="M53" s="466">
        <f>'1 квартал'!M53+'2 квартал'!M53</f>
        <v>0</v>
      </c>
      <c r="N53" s="18">
        <f t="shared" si="10"/>
        <v>0</v>
      </c>
      <c r="O53" s="21"/>
      <c r="P53" s="18">
        <f t="shared" si="5"/>
        <v>0</v>
      </c>
      <c r="Q53" s="18"/>
      <c r="R53" s="18">
        <f t="shared" si="6"/>
        <v>0</v>
      </c>
      <c r="S53" s="18"/>
      <c r="T53" s="18"/>
      <c r="U53" s="18">
        <f t="shared" si="7"/>
        <v>0</v>
      </c>
      <c r="V53" s="18"/>
      <c r="W53" s="18">
        <f t="shared" si="12"/>
        <v>0</v>
      </c>
      <c r="X53" s="18"/>
      <c r="Y53" s="9"/>
      <c r="Z53" s="9"/>
      <c r="AA53" s="9"/>
    </row>
    <row r="54" spans="1:27" ht="15.75">
      <c r="A54" s="441">
        <v>12</v>
      </c>
      <c r="B54" s="8" t="s">
        <v>68</v>
      </c>
      <c r="C54" s="457" t="s">
        <v>47</v>
      </c>
      <c r="D54" s="478">
        <f t="shared" si="0"/>
        <v>60</v>
      </c>
      <c r="E54" s="18">
        <f t="shared" si="11"/>
        <v>0</v>
      </c>
      <c r="F54" s="20"/>
      <c r="G54" s="20"/>
      <c r="H54" s="479">
        <f t="shared" si="1"/>
        <v>60</v>
      </c>
      <c r="I54" s="466">
        <f>'1 квартал'!I54+'2 квартал'!I54</f>
        <v>60</v>
      </c>
      <c r="J54" s="466">
        <f>'1 квартал'!J54+'2 квартал'!J54</f>
        <v>0</v>
      </c>
      <c r="K54" s="491">
        <f t="shared" si="2"/>
        <v>0</v>
      </c>
      <c r="L54" s="466">
        <f>'1 квартал'!L54+'2 квартал'!L54</f>
        <v>0</v>
      </c>
      <c r="M54" s="466">
        <f>'1 квартал'!M54+'2 квартал'!M54</f>
        <v>0</v>
      </c>
      <c r="N54" s="18">
        <f t="shared" si="10"/>
        <v>0</v>
      </c>
      <c r="O54" s="21"/>
      <c r="P54" s="18">
        <f t="shared" si="5"/>
        <v>0</v>
      </c>
      <c r="Q54" s="18"/>
      <c r="R54" s="18">
        <f t="shared" si="6"/>
        <v>0</v>
      </c>
      <c r="S54" s="18"/>
      <c r="T54" s="18"/>
      <c r="U54" s="18">
        <f t="shared" si="7"/>
        <v>0</v>
      </c>
      <c r="V54" s="18"/>
      <c r="W54" s="18">
        <f t="shared" si="12"/>
        <v>0</v>
      </c>
      <c r="X54" s="18"/>
      <c r="Y54" s="9"/>
      <c r="Z54" s="9"/>
      <c r="AA54" s="9"/>
    </row>
    <row r="55" spans="1:27" ht="15.75">
      <c r="A55" s="441"/>
      <c r="B55" s="8" t="s">
        <v>69</v>
      </c>
      <c r="C55" s="457" t="s">
        <v>21</v>
      </c>
      <c r="D55" s="478">
        <f t="shared" si="0"/>
        <v>436.3900000000001</v>
      </c>
      <c r="E55" s="18">
        <f t="shared" si="11"/>
        <v>0</v>
      </c>
      <c r="F55" s="20"/>
      <c r="G55" s="20"/>
      <c r="H55" s="479">
        <f t="shared" si="1"/>
        <v>436.3900000000001</v>
      </c>
      <c r="I55" s="466">
        <f>'1 квартал'!I55+'2 квартал'!I55</f>
        <v>436.3900000000001</v>
      </c>
      <c r="J55" s="466">
        <f>'1 квартал'!J55+'2 квартал'!J55</f>
        <v>0</v>
      </c>
      <c r="K55" s="491">
        <f t="shared" si="2"/>
        <v>0</v>
      </c>
      <c r="L55" s="466">
        <f>'1 квартал'!L55+'2 квартал'!L55</f>
        <v>0</v>
      </c>
      <c r="M55" s="466">
        <f>'1 квартал'!M55+'2 квартал'!M55</f>
        <v>0</v>
      </c>
      <c r="N55" s="18">
        <f t="shared" si="10"/>
        <v>0</v>
      </c>
      <c r="O55" s="21"/>
      <c r="P55" s="18">
        <f t="shared" si="5"/>
        <v>0</v>
      </c>
      <c r="Q55" s="18"/>
      <c r="R55" s="18">
        <f t="shared" si="6"/>
        <v>0</v>
      </c>
      <c r="S55" s="18"/>
      <c r="T55" s="18"/>
      <c r="U55" s="18">
        <f t="shared" si="7"/>
        <v>0</v>
      </c>
      <c r="V55" s="18"/>
      <c r="W55" s="18">
        <f t="shared" si="12"/>
        <v>0</v>
      </c>
      <c r="X55" s="18"/>
      <c r="Y55" s="9"/>
      <c r="Z55" s="9"/>
      <c r="AA55" s="9"/>
    </row>
    <row r="56" spans="1:27" ht="15.75">
      <c r="A56" s="441">
        <v>14</v>
      </c>
      <c r="B56" s="8" t="s">
        <v>70</v>
      </c>
      <c r="C56" s="457" t="s">
        <v>24</v>
      </c>
      <c r="D56" s="478">
        <f t="shared" si="0"/>
        <v>7.0250000000000007E-2</v>
      </c>
      <c r="E56" s="18">
        <f t="shared" si="11"/>
        <v>0</v>
      </c>
      <c r="F56" s="20"/>
      <c r="G56" s="20"/>
      <c r="H56" s="479">
        <f t="shared" si="1"/>
        <v>7.0250000000000007E-2</v>
      </c>
      <c r="I56" s="466">
        <f>'1 квартал'!I56+'2 квартал'!I56</f>
        <v>7.0250000000000007E-2</v>
      </c>
      <c r="J56" s="466">
        <f>'1 квартал'!J56+'2 квартал'!J56</f>
        <v>0</v>
      </c>
      <c r="K56" s="491">
        <f t="shared" si="2"/>
        <v>0</v>
      </c>
      <c r="L56" s="466">
        <f>'1 квартал'!L56+'2 квартал'!L56</f>
        <v>0</v>
      </c>
      <c r="M56" s="466">
        <f>'1 квартал'!M56+'2 квартал'!M56</f>
        <v>0</v>
      </c>
      <c r="N56" s="18">
        <f t="shared" si="10"/>
        <v>0</v>
      </c>
      <c r="O56" s="21"/>
      <c r="P56" s="18">
        <f t="shared" si="5"/>
        <v>0</v>
      </c>
      <c r="Q56" s="18"/>
      <c r="R56" s="18">
        <f t="shared" si="6"/>
        <v>0</v>
      </c>
      <c r="S56" s="18"/>
      <c r="T56" s="18"/>
      <c r="U56" s="18">
        <f t="shared" si="7"/>
        <v>0</v>
      </c>
      <c r="V56" s="18"/>
      <c r="W56" s="18">
        <f t="shared" si="12"/>
        <v>0</v>
      </c>
      <c r="X56" s="18"/>
      <c r="Y56" s="9"/>
      <c r="Z56" s="9"/>
      <c r="AA56" s="9"/>
    </row>
    <row r="57" spans="1:27" ht="15.75">
      <c r="A57" s="441"/>
      <c r="B57" s="8" t="s">
        <v>71</v>
      </c>
      <c r="C57" s="457" t="s">
        <v>21</v>
      </c>
      <c r="D57" s="478">
        <f t="shared" si="0"/>
        <v>74.986000000000004</v>
      </c>
      <c r="E57" s="18">
        <f t="shared" si="11"/>
        <v>0</v>
      </c>
      <c r="F57" s="20"/>
      <c r="G57" s="20"/>
      <c r="H57" s="479">
        <f t="shared" si="1"/>
        <v>74.986000000000004</v>
      </c>
      <c r="I57" s="466">
        <f>'1 квартал'!I57+'2 квартал'!I57</f>
        <v>74.986000000000004</v>
      </c>
      <c r="J57" s="466">
        <f>'1 квартал'!J57+'2 квартал'!J57</f>
        <v>0</v>
      </c>
      <c r="K57" s="491">
        <f t="shared" si="2"/>
        <v>0</v>
      </c>
      <c r="L57" s="466">
        <f>'1 квартал'!L57+'2 квартал'!L57</f>
        <v>0</v>
      </c>
      <c r="M57" s="466">
        <f>'1 квартал'!M57+'2 квартал'!M57</f>
        <v>0</v>
      </c>
      <c r="N57" s="18">
        <f t="shared" si="10"/>
        <v>0</v>
      </c>
      <c r="O57" s="21"/>
      <c r="P57" s="18">
        <f t="shared" si="5"/>
        <v>0</v>
      </c>
      <c r="Q57" s="18"/>
      <c r="R57" s="18">
        <f t="shared" si="6"/>
        <v>0</v>
      </c>
      <c r="S57" s="18"/>
      <c r="T57" s="18"/>
      <c r="U57" s="18">
        <f t="shared" si="7"/>
        <v>0</v>
      </c>
      <c r="V57" s="18"/>
      <c r="W57" s="18">
        <f t="shared" si="12"/>
        <v>0</v>
      </c>
      <c r="X57" s="18"/>
      <c r="Y57" s="9"/>
      <c r="Z57" s="9"/>
      <c r="AA57" s="9"/>
    </row>
    <row r="58" spans="1:27" ht="15.75">
      <c r="A58" s="441">
        <v>15</v>
      </c>
      <c r="B58" s="8" t="s">
        <v>72</v>
      </c>
      <c r="C58" s="457" t="s">
        <v>47</v>
      </c>
      <c r="D58" s="478">
        <f t="shared" si="0"/>
        <v>2</v>
      </c>
      <c r="E58" s="18">
        <f t="shared" si="11"/>
        <v>0</v>
      </c>
      <c r="F58" s="20"/>
      <c r="G58" s="20"/>
      <c r="H58" s="479">
        <f t="shared" si="1"/>
        <v>2</v>
      </c>
      <c r="I58" s="466">
        <f>'1 квартал'!I58+'2 квартал'!I58</f>
        <v>2</v>
      </c>
      <c r="J58" s="466">
        <f>'1 квартал'!J58+'2 квартал'!J58</f>
        <v>0</v>
      </c>
      <c r="K58" s="491">
        <f t="shared" si="2"/>
        <v>0</v>
      </c>
      <c r="L58" s="466">
        <f>'1 квартал'!L58+'2 квартал'!L58</f>
        <v>0</v>
      </c>
      <c r="M58" s="466">
        <f>'1 квартал'!M58+'2 квартал'!M58</f>
        <v>0</v>
      </c>
      <c r="N58" s="18">
        <f t="shared" si="10"/>
        <v>0</v>
      </c>
      <c r="O58" s="21"/>
      <c r="P58" s="18">
        <f t="shared" si="5"/>
        <v>0</v>
      </c>
      <c r="Q58" s="18"/>
      <c r="R58" s="18">
        <f t="shared" si="6"/>
        <v>0</v>
      </c>
      <c r="S58" s="18"/>
      <c r="T58" s="18"/>
      <c r="U58" s="18">
        <f t="shared" si="7"/>
        <v>0</v>
      </c>
      <c r="V58" s="18"/>
      <c r="W58" s="18">
        <f t="shared" si="12"/>
        <v>0</v>
      </c>
      <c r="X58" s="18"/>
    </row>
    <row r="59" spans="1:27" ht="15.75">
      <c r="A59" s="441"/>
      <c r="B59" s="8" t="s">
        <v>73</v>
      </c>
      <c r="C59" s="457" t="s">
        <v>21</v>
      </c>
      <c r="D59" s="478">
        <f t="shared" si="0"/>
        <v>4.7679999999999998</v>
      </c>
      <c r="E59" s="18">
        <f t="shared" si="11"/>
        <v>0</v>
      </c>
      <c r="F59" s="20"/>
      <c r="G59" s="20"/>
      <c r="H59" s="479">
        <f t="shared" si="1"/>
        <v>4.7679999999999998</v>
      </c>
      <c r="I59" s="466">
        <f>'1 квартал'!I59+'2 квартал'!I59</f>
        <v>4.7679999999999998</v>
      </c>
      <c r="J59" s="466">
        <f>'1 квартал'!J59+'2 квартал'!J59</f>
        <v>0</v>
      </c>
      <c r="K59" s="491">
        <f t="shared" si="2"/>
        <v>0</v>
      </c>
      <c r="L59" s="466">
        <f>'1 квартал'!L59+'2 квартал'!L59</f>
        <v>0</v>
      </c>
      <c r="M59" s="466">
        <f>'1 квартал'!M59+'2 квартал'!M59</f>
        <v>0</v>
      </c>
      <c r="N59" s="18">
        <f t="shared" si="10"/>
        <v>0</v>
      </c>
      <c r="O59" s="21"/>
      <c r="P59" s="18">
        <f t="shared" si="5"/>
        <v>0</v>
      </c>
      <c r="Q59" s="18"/>
      <c r="R59" s="18">
        <f t="shared" si="6"/>
        <v>0</v>
      </c>
      <c r="S59" s="18"/>
      <c r="T59" s="18"/>
      <c r="U59" s="18">
        <f t="shared" si="7"/>
        <v>0</v>
      </c>
      <c r="V59" s="18"/>
      <c r="W59" s="18">
        <f t="shared" si="12"/>
        <v>0</v>
      </c>
      <c r="X59" s="18"/>
    </row>
    <row r="60" spans="1:27" ht="15.75">
      <c r="A60" s="441">
        <v>16</v>
      </c>
      <c r="B60" s="8" t="s">
        <v>74</v>
      </c>
      <c r="C60" s="457" t="s">
        <v>47</v>
      </c>
      <c r="D60" s="478">
        <f t="shared" si="0"/>
        <v>0</v>
      </c>
      <c r="E60" s="18"/>
      <c r="F60" s="20"/>
      <c r="G60" s="20"/>
      <c r="H60" s="479">
        <f t="shared" si="1"/>
        <v>0</v>
      </c>
      <c r="I60" s="466">
        <f>'1 квартал'!I60+'2 квартал'!I60</f>
        <v>0</v>
      </c>
      <c r="J60" s="466">
        <f>'1 квартал'!J60+'2 квартал'!J60</f>
        <v>0</v>
      </c>
      <c r="K60" s="491">
        <f t="shared" si="2"/>
        <v>0</v>
      </c>
      <c r="L60" s="466">
        <f>'1 квартал'!L60+'2 квартал'!L60</f>
        <v>0</v>
      </c>
      <c r="M60" s="466">
        <f>'1 квартал'!M60+'2 квартал'!M60</f>
        <v>0</v>
      </c>
      <c r="N60" s="18">
        <f t="shared" si="10"/>
        <v>0</v>
      </c>
      <c r="O60" s="21"/>
      <c r="P60" s="18">
        <f t="shared" si="5"/>
        <v>0</v>
      </c>
      <c r="Q60" s="18"/>
      <c r="R60" s="18">
        <f t="shared" si="6"/>
        <v>0</v>
      </c>
      <c r="S60" s="18"/>
      <c r="T60" s="18"/>
      <c r="U60" s="18">
        <f t="shared" si="7"/>
        <v>0</v>
      </c>
      <c r="V60" s="18"/>
      <c r="W60" s="18">
        <f t="shared" si="12"/>
        <v>0</v>
      </c>
      <c r="X60" s="18"/>
    </row>
    <row r="61" spans="1:27" ht="15.75">
      <c r="A61" s="441"/>
      <c r="B61" s="8"/>
      <c r="C61" s="457" t="s">
        <v>21</v>
      </c>
      <c r="D61" s="478">
        <f t="shared" si="0"/>
        <v>0</v>
      </c>
      <c r="E61" s="18"/>
      <c r="F61" s="20"/>
      <c r="G61" s="20"/>
      <c r="H61" s="479">
        <f t="shared" si="1"/>
        <v>0</v>
      </c>
      <c r="I61" s="466">
        <f>'1 квартал'!I61+'2 квартал'!I61</f>
        <v>0</v>
      </c>
      <c r="J61" s="466">
        <f>'1 квартал'!J61+'2 квартал'!J61</f>
        <v>0</v>
      </c>
      <c r="K61" s="491">
        <f t="shared" si="2"/>
        <v>0</v>
      </c>
      <c r="L61" s="466">
        <f>'1 квартал'!L61+'2 квартал'!L61</f>
        <v>0</v>
      </c>
      <c r="M61" s="466">
        <f>'1 квартал'!M61+'2 квартал'!M61</f>
        <v>0</v>
      </c>
      <c r="N61" s="18">
        <f t="shared" si="10"/>
        <v>0</v>
      </c>
      <c r="O61" s="21"/>
      <c r="P61" s="18">
        <f t="shared" si="5"/>
        <v>0</v>
      </c>
      <c r="Q61" s="18"/>
      <c r="R61" s="18">
        <f t="shared" si="6"/>
        <v>0</v>
      </c>
      <c r="S61" s="18"/>
      <c r="T61" s="18"/>
      <c r="U61" s="18">
        <f t="shared" si="7"/>
        <v>0</v>
      </c>
      <c r="V61" s="18"/>
      <c r="W61" s="18">
        <f t="shared" si="12"/>
        <v>0</v>
      </c>
      <c r="X61" s="18"/>
    </row>
    <row r="62" spans="1:27" ht="40.5" customHeight="1">
      <c r="A62" s="441">
        <v>17</v>
      </c>
      <c r="B62" s="442" t="s">
        <v>75</v>
      </c>
      <c r="C62" s="457" t="s">
        <v>24</v>
      </c>
      <c r="D62" s="478">
        <f t="shared" si="0"/>
        <v>0</v>
      </c>
      <c r="E62" s="18">
        <v>0</v>
      </c>
      <c r="F62" s="20"/>
      <c r="G62" s="20"/>
      <c r="H62" s="479">
        <f t="shared" si="1"/>
        <v>0</v>
      </c>
      <c r="I62" s="466">
        <f>'1 квартал'!I62+'2 квартал'!I62</f>
        <v>0</v>
      </c>
      <c r="J62" s="466">
        <f>'1 квартал'!J62+'2 квартал'!J62</f>
        <v>0</v>
      </c>
      <c r="K62" s="491">
        <f t="shared" si="2"/>
        <v>0</v>
      </c>
      <c r="L62" s="466">
        <f>'1 квартал'!L62+'2 квартал'!L62</f>
        <v>0</v>
      </c>
      <c r="M62" s="466">
        <f>'1 квартал'!M62+'2 квартал'!M62</f>
        <v>0</v>
      </c>
      <c r="N62" s="18">
        <f t="shared" si="10"/>
        <v>0</v>
      </c>
      <c r="O62" s="21"/>
      <c r="P62" s="18">
        <f t="shared" si="5"/>
        <v>0</v>
      </c>
      <c r="Q62" s="18"/>
      <c r="R62" s="18">
        <f t="shared" si="6"/>
        <v>0</v>
      </c>
      <c r="S62" s="18"/>
      <c r="T62" s="18"/>
      <c r="U62" s="18">
        <f t="shared" si="7"/>
        <v>0</v>
      </c>
      <c r="V62" s="18"/>
      <c r="W62" s="18">
        <f t="shared" si="12"/>
        <v>0</v>
      </c>
      <c r="X62" s="18"/>
    </row>
    <row r="63" spans="1:27" ht="15.75">
      <c r="A63" s="441"/>
      <c r="B63" s="443"/>
      <c r="C63" s="457" t="s">
        <v>21</v>
      </c>
      <c r="D63" s="478">
        <f t="shared" si="0"/>
        <v>0</v>
      </c>
      <c r="E63" s="18">
        <v>0</v>
      </c>
      <c r="F63" s="20"/>
      <c r="G63" s="20"/>
      <c r="H63" s="479">
        <f t="shared" si="1"/>
        <v>0</v>
      </c>
      <c r="I63" s="466">
        <f>'1 квартал'!I63+'2 квартал'!I63</f>
        <v>0</v>
      </c>
      <c r="J63" s="466">
        <f>'1 квартал'!J63+'2 квартал'!J63</f>
        <v>0</v>
      </c>
      <c r="K63" s="491">
        <f t="shared" si="2"/>
        <v>0</v>
      </c>
      <c r="L63" s="466">
        <f>'1 квартал'!L63+'2 квартал'!L63</f>
        <v>0</v>
      </c>
      <c r="M63" s="466">
        <f>'1 квартал'!M63+'2 квартал'!M63</f>
        <v>0</v>
      </c>
      <c r="N63" s="18">
        <f t="shared" si="10"/>
        <v>0</v>
      </c>
      <c r="O63" s="21"/>
      <c r="P63" s="18">
        <f t="shared" si="5"/>
        <v>0</v>
      </c>
      <c r="Q63" s="18"/>
      <c r="R63" s="18">
        <f t="shared" si="6"/>
        <v>0</v>
      </c>
      <c r="S63" s="18"/>
      <c r="T63" s="18"/>
      <c r="U63" s="18">
        <f t="shared" si="7"/>
        <v>0</v>
      </c>
      <c r="V63" s="18"/>
      <c r="W63" s="18">
        <f t="shared" si="12"/>
        <v>0</v>
      </c>
      <c r="X63" s="18"/>
    </row>
    <row r="64" spans="1:27" ht="15.75">
      <c r="A64" s="441">
        <v>18</v>
      </c>
      <c r="B64" s="8" t="s">
        <v>76</v>
      </c>
      <c r="C64" s="457" t="s">
        <v>47</v>
      </c>
      <c r="D64" s="478">
        <f t="shared" si="0"/>
        <v>0</v>
      </c>
      <c r="E64" s="18"/>
      <c r="F64" s="20"/>
      <c r="G64" s="20"/>
      <c r="H64" s="479">
        <f t="shared" si="1"/>
        <v>0</v>
      </c>
      <c r="I64" s="466">
        <f>'1 квартал'!I64+'2 квартал'!I64</f>
        <v>0</v>
      </c>
      <c r="J64" s="466">
        <f>'1 квартал'!J64+'2 квартал'!J64</f>
        <v>0</v>
      </c>
      <c r="K64" s="491">
        <f t="shared" si="2"/>
        <v>0</v>
      </c>
      <c r="L64" s="466">
        <f>'1 квартал'!L64+'2 квартал'!L64</f>
        <v>0</v>
      </c>
      <c r="M64" s="466">
        <f>'1 квартал'!M64+'2 квартал'!M64</f>
        <v>0</v>
      </c>
      <c r="N64" s="18">
        <f t="shared" si="10"/>
        <v>0</v>
      </c>
      <c r="O64" s="21"/>
      <c r="P64" s="18">
        <f t="shared" si="5"/>
        <v>0</v>
      </c>
      <c r="Q64" s="18"/>
      <c r="R64" s="18">
        <f t="shared" si="6"/>
        <v>0</v>
      </c>
      <c r="S64" s="18"/>
      <c r="T64" s="18"/>
      <c r="U64" s="18">
        <f t="shared" si="7"/>
        <v>0</v>
      </c>
      <c r="V64" s="18"/>
      <c r="W64" s="18">
        <f t="shared" si="12"/>
        <v>0</v>
      </c>
      <c r="X64" s="18"/>
    </row>
    <row r="65" spans="1:27" ht="15.75">
      <c r="A65" s="441"/>
      <c r="B65" s="8"/>
      <c r="C65" s="457" t="s">
        <v>21</v>
      </c>
      <c r="D65" s="478">
        <f t="shared" si="0"/>
        <v>0</v>
      </c>
      <c r="E65" s="18"/>
      <c r="F65" s="20"/>
      <c r="G65" s="20"/>
      <c r="H65" s="479">
        <f t="shared" si="1"/>
        <v>0</v>
      </c>
      <c r="I65" s="466">
        <f>'1 квартал'!I65+'2 квартал'!I65</f>
        <v>0</v>
      </c>
      <c r="J65" s="466">
        <f>'1 квартал'!J65+'2 квартал'!J65</f>
        <v>0</v>
      </c>
      <c r="K65" s="491">
        <f t="shared" si="2"/>
        <v>0</v>
      </c>
      <c r="L65" s="466">
        <f>'1 квартал'!L65+'2 квартал'!L65</f>
        <v>0</v>
      </c>
      <c r="M65" s="466">
        <f>'1 квартал'!M65+'2 квартал'!M65</f>
        <v>0</v>
      </c>
      <c r="N65" s="18">
        <f t="shared" si="10"/>
        <v>0</v>
      </c>
      <c r="O65" s="21"/>
      <c r="P65" s="18">
        <f t="shared" si="5"/>
        <v>0</v>
      </c>
      <c r="Q65" s="18"/>
      <c r="R65" s="18">
        <f t="shared" si="6"/>
        <v>0</v>
      </c>
      <c r="S65" s="18"/>
      <c r="T65" s="18"/>
      <c r="U65" s="18">
        <f t="shared" si="7"/>
        <v>0</v>
      </c>
      <c r="V65" s="18"/>
      <c r="W65" s="18">
        <f t="shared" si="12"/>
        <v>0</v>
      </c>
      <c r="X65" s="18"/>
    </row>
    <row r="66" spans="1:27" ht="15.75">
      <c r="A66" s="441">
        <v>19</v>
      </c>
      <c r="B66" s="8" t="s">
        <v>77</v>
      </c>
      <c r="C66" s="457" t="s">
        <v>47</v>
      </c>
      <c r="D66" s="478">
        <f t="shared" si="0"/>
        <v>8</v>
      </c>
      <c r="E66" s="18"/>
      <c r="F66" s="20"/>
      <c r="G66" s="20"/>
      <c r="H66" s="479">
        <f t="shared" si="1"/>
        <v>8</v>
      </c>
      <c r="I66" s="466">
        <f>'1 квартал'!I66+'2 квартал'!I66</f>
        <v>8</v>
      </c>
      <c r="J66" s="466">
        <f>'1 квартал'!J66+'2 квартал'!J66</f>
        <v>0</v>
      </c>
      <c r="K66" s="491">
        <f t="shared" si="2"/>
        <v>0</v>
      </c>
      <c r="L66" s="466">
        <f>'1 квартал'!L66+'2 квартал'!L66</f>
        <v>0</v>
      </c>
      <c r="M66" s="466">
        <f>'1 квартал'!M66+'2 квартал'!M66</f>
        <v>0</v>
      </c>
      <c r="N66" s="18">
        <f t="shared" si="10"/>
        <v>0</v>
      </c>
      <c r="O66" s="21"/>
      <c r="P66" s="18">
        <f t="shared" si="5"/>
        <v>0</v>
      </c>
      <c r="Q66" s="18"/>
      <c r="R66" s="18">
        <f t="shared" si="6"/>
        <v>0</v>
      </c>
      <c r="S66" s="18"/>
      <c r="T66" s="18"/>
      <c r="U66" s="18">
        <f t="shared" si="7"/>
        <v>0</v>
      </c>
      <c r="V66" s="18"/>
      <c r="W66" s="18">
        <f t="shared" si="12"/>
        <v>0</v>
      </c>
      <c r="X66" s="18"/>
    </row>
    <row r="67" spans="1:27" ht="15.75">
      <c r="A67" s="441"/>
      <c r="B67" s="8"/>
      <c r="C67" s="457" t="s">
        <v>21</v>
      </c>
      <c r="D67" s="478">
        <f t="shared" si="0"/>
        <v>10.434000000000001</v>
      </c>
      <c r="E67" s="18"/>
      <c r="F67" s="20"/>
      <c r="G67" s="20"/>
      <c r="H67" s="479">
        <f t="shared" si="1"/>
        <v>10.434000000000001</v>
      </c>
      <c r="I67" s="466">
        <f>'1 квартал'!I67+'2 квартал'!I67</f>
        <v>10.434000000000001</v>
      </c>
      <c r="J67" s="466">
        <f>'1 квартал'!J67+'2 квартал'!J67</f>
        <v>0</v>
      </c>
      <c r="K67" s="491">
        <f t="shared" si="2"/>
        <v>0</v>
      </c>
      <c r="L67" s="466">
        <f>'1 квартал'!L67+'2 квартал'!L67</f>
        <v>0</v>
      </c>
      <c r="M67" s="466">
        <f>'1 квартал'!M67+'2 квартал'!M67</f>
        <v>0</v>
      </c>
      <c r="N67" s="18">
        <f t="shared" si="10"/>
        <v>0</v>
      </c>
      <c r="O67" s="21"/>
      <c r="P67" s="18">
        <f t="shared" si="5"/>
        <v>0</v>
      </c>
      <c r="Q67" s="18"/>
      <c r="R67" s="18">
        <f t="shared" si="6"/>
        <v>0</v>
      </c>
      <c r="S67" s="18"/>
      <c r="T67" s="18"/>
      <c r="U67" s="18">
        <f t="shared" si="7"/>
        <v>0</v>
      </c>
      <c r="V67" s="18"/>
      <c r="W67" s="18">
        <f t="shared" si="12"/>
        <v>0</v>
      </c>
      <c r="X67" s="18"/>
    </row>
    <row r="68" spans="1:27" ht="31.5">
      <c r="A68" s="441">
        <v>20</v>
      </c>
      <c r="B68" s="442" t="s">
        <v>78</v>
      </c>
      <c r="C68" s="457" t="s">
        <v>79</v>
      </c>
      <c r="D68" s="478">
        <f t="shared" si="0"/>
        <v>0</v>
      </c>
      <c r="E68" s="18">
        <v>0</v>
      </c>
      <c r="F68" s="20"/>
      <c r="G68" s="20"/>
      <c r="H68" s="479">
        <f t="shared" si="1"/>
        <v>0</v>
      </c>
      <c r="I68" s="466">
        <f>'1 квартал'!I68+'2 квартал'!I68</f>
        <v>0</v>
      </c>
      <c r="J68" s="466">
        <f>'1 квартал'!J68+'2 квартал'!J68</f>
        <v>0</v>
      </c>
      <c r="K68" s="491">
        <f t="shared" si="2"/>
        <v>0</v>
      </c>
      <c r="L68" s="466">
        <f>'1 квартал'!L68+'2 квартал'!L68</f>
        <v>0</v>
      </c>
      <c r="M68" s="466">
        <f>'1 квартал'!M68+'2 квартал'!M68</f>
        <v>0</v>
      </c>
      <c r="N68" s="18">
        <f t="shared" si="10"/>
        <v>0</v>
      </c>
      <c r="O68" s="21"/>
      <c r="P68" s="18">
        <f t="shared" si="5"/>
        <v>0</v>
      </c>
      <c r="Q68" s="18"/>
      <c r="R68" s="18">
        <f t="shared" si="6"/>
        <v>0</v>
      </c>
      <c r="S68" s="18"/>
      <c r="T68" s="18"/>
      <c r="U68" s="18">
        <f t="shared" si="7"/>
        <v>0</v>
      </c>
      <c r="V68" s="18"/>
      <c r="W68" s="18">
        <f t="shared" si="12"/>
        <v>0</v>
      </c>
      <c r="X68" s="18"/>
    </row>
    <row r="69" spans="1:27" ht="15.75">
      <c r="A69" s="441"/>
      <c r="B69" s="8"/>
      <c r="C69" s="457" t="s">
        <v>21</v>
      </c>
      <c r="D69" s="478">
        <f t="shared" si="0"/>
        <v>0</v>
      </c>
      <c r="E69" s="18">
        <v>0</v>
      </c>
      <c r="F69" s="20"/>
      <c r="G69" s="20"/>
      <c r="H69" s="479">
        <f t="shared" si="1"/>
        <v>0</v>
      </c>
      <c r="I69" s="466">
        <f>'1 квартал'!I69+'2 квартал'!I69</f>
        <v>0</v>
      </c>
      <c r="J69" s="466">
        <f>'1 квартал'!J69+'2 квартал'!J69</f>
        <v>0</v>
      </c>
      <c r="K69" s="491">
        <f t="shared" si="2"/>
        <v>0</v>
      </c>
      <c r="L69" s="466">
        <f>'1 квартал'!L69+'2 квартал'!L69</f>
        <v>0</v>
      </c>
      <c r="M69" s="466">
        <f>'1 квартал'!M69+'2 квартал'!M69</f>
        <v>0</v>
      </c>
      <c r="N69" s="18">
        <f t="shared" si="10"/>
        <v>0</v>
      </c>
      <c r="O69" s="21"/>
      <c r="P69" s="18">
        <f t="shared" si="5"/>
        <v>0</v>
      </c>
      <c r="Q69" s="18"/>
      <c r="R69" s="18">
        <f t="shared" si="6"/>
        <v>0</v>
      </c>
      <c r="S69" s="18"/>
      <c r="T69" s="18"/>
      <c r="U69" s="18">
        <f t="shared" si="7"/>
        <v>0</v>
      </c>
      <c r="V69" s="18"/>
      <c r="W69" s="18">
        <f t="shared" si="12"/>
        <v>0</v>
      </c>
      <c r="X69" s="18"/>
    </row>
    <row r="70" spans="1:27" ht="31.5">
      <c r="A70" s="441">
        <v>21</v>
      </c>
      <c r="B70" s="442" t="s">
        <v>80</v>
      </c>
      <c r="C70" s="457" t="s">
        <v>24</v>
      </c>
      <c r="D70" s="478">
        <f t="shared" si="0"/>
        <v>0</v>
      </c>
      <c r="E70" s="18"/>
      <c r="F70" s="20"/>
      <c r="G70" s="20"/>
      <c r="H70" s="479">
        <f t="shared" si="1"/>
        <v>0</v>
      </c>
      <c r="I70" s="466">
        <f>'1 квартал'!I70+'2 квартал'!I70</f>
        <v>0</v>
      </c>
      <c r="J70" s="466">
        <f>'1 квартал'!J70+'2 квартал'!J70</f>
        <v>0</v>
      </c>
      <c r="K70" s="491">
        <f t="shared" si="2"/>
        <v>0</v>
      </c>
      <c r="L70" s="466">
        <f>'1 квартал'!L70+'2 квартал'!L70</f>
        <v>0</v>
      </c>
      <c r="M70" s="466">
        <f>'1 квартал'!M70+'2 квартал'!M70</f>
        <v>0</v>
      </c>
      <c r="N70" s="18">
        <f t="shared" si="10"/>
        <v>0</v>
      </c>
      <c r="O70" s="21"/>
      <c r="P70" s="18">
        <f t="shared" si="5"/>
        <v>0</v>
      </c>
      <c r="Q70" s="18"/>
      <c r="R70" s="18">
        <f t="shared" si="6"/>
        <v>0</v>
      </c>
      <c r="S70" s="18"/>
      <c r="T70" s="18"/>
      <c r="U70" s="18">
        <f t="shared" si="7"/>
        <v>0</v>
      </c>
      <c r="V70" s="18"/>
      <c r="W70" s="18">
        <f t="shared" si="12"/>
        <v>0</v>
      </c>
      <c r="X70" s="18"/>
    </row>
    <row r="71" spans="1:27" s="6" customFormat="1" ht="15.75">
      <c r="A71" s="441"/>
      <c r="B71" s="8"/>
      <c r="C71" s="457" t="s">
        <v>21</v>
      </c>
      <c r="D71" s="478">
        <f t="shared" si="0"/>
        <v>0</v>
      </c>
      <c r="E71" s="18"/>
      <c r="F71" s="20"/>
      <c r="G71" s="20"/>
      <c r="H71" s="479">
        <f t="shared" si="1"/>
        <v>0</v>
      </c>
      <c r="I71" s="466">
        <f>'1 квартал'!I71+'2 квартал'!I71</f>
        <v>0</v>
      </c>
      <c r="J71" s="466">
        <f>'1 квартал'!J71+'2 квартал'!J71</f>
        <v>0</v>
      </c>
      <c r="K71" s="491">
        <f t="shared" si="2"/>
        <v>0</v>
      </c>
      <c r="L71" s="466">
        <f>'1 квартал'!L71+'2 квартал'!L71</f>
        <v>0</v>
      </c>
      <c r="M71" s="466">
        <f>'1 квартал'!M71+'2 квартал'!M71</f>
        <v>0</v>
      </c>
      <c r="N71" s="18">
        <f t="shared" si="10"/>
        <v>0</v>
      </c>
      <c r="O71" s="21"/>
      <c r="P71" s="18">
        <f t="shared" si="5"/>
        <v>0</v>
      </c>
      <c r="Q71" s="18"/>
      <c r="R71" s="18">
        <f t="shared" si="6"/>
        <v>0</v>
      </c>
      <c r="S71" s="18"/>
      <c r="T71" s="18"/>
      <c r="U71" s="18">
        <f t="shared" si="7"/>
        <v>0</v>
      </c>
      <c r="V71" s="18"/>
      <c r="W71" s="18">
        <f t="shared" si="12"/>
        <v>0</v>
      </c>
      <c r="X71" s="18"/>
    </row>
    <row r="72" spans="1:27" s="22" customFormat="1" ht="15.75">
      <c r="A72" s="444" t="s">
        <v>81</v>
      </c>
      <c r="B72" s="445" t="s">
        <v>82</v>
      </c>
      <c r="C72" s="460" t="s">
        <v>21</v>
      </c>
      <c r="D72" s="478">
        <f t="shared" si="0"/>
        <v>4552.8914999999997</v>
      </c>
      <c r="E72" s="446">
        <f t="shared" ref="E72:X72" si="13">E74+E84+E86</f>
        <v>0</v>
      </c>
      <c r="F72" s="446">
        <f t="shared" si="13"/>
        <v>0</v>
      </c>
      <c r="G72" s="446">
        <f t="shared" si="13"/>
        <v>0</v>
      </c>
      <c r="H72" s="479">
        <f t="shared" si="1"/>
        <v>4304.9589999999998</v>
      </c>
      <c r="I72" s="469">
        <f>I74+I84+I86</f>
        <v>4304.9589999999998</v>
      </c>
      <c r="J72" s="487">
        <f>J74+J84+J86</f>
        <v>0</v>
      </c>
      <c r="K72" s="491">
        <f t="shared" si="2"/>
        <v>247.93250000000003</v>
      </c>
      <c r="L72" s="469">
        <f t="shared" si="13"/>
        <v>247.93250000000003</v>
      </c>
      <c r="M72" s="446">
        <f t="shared" si="13"/>
        <v>0</v>
      </c>
      <c r="N72" s="446">
        <f t="shared" si="13"/>
        <v>0</v>
      </c>
      <c r="O72" s="446">
        <f t="shared" si="13"/>
        <v>0</v>
      </c>
      <c r="P72" s="446">
        <f t="shared" si="13"/>
        <v>0</v>
      </c>
      <c r="Q72" s="446">
        <f t="shared" si="13"/>
        <v>0</v>
      </c>
      <c r="R72" s="446">
        <f t="shared" si="13"/>
        <v>0</v>
      </c>
      <c r="S72" s="446">
        <f t="shared" si="13"/>
        <v>0</v>
      </c>
      <c r="T72" s="446">
        <f t="shared" si="13"/>
        <v>0</v>
      </c>
      <c r="U72" s="446">
        <f t="shared" si="13"/>
        <v>0</v>
      </c>
      <c r="V72" s="446">
        <f t="shared" si="13"/>
        <v>0</v>
      </c>
      <c r="W72" s="446">
        <f t="shared" si="13"/>
        <v>0</v>
      </c>
      <c r="X72" s="446">
        <f t="shared" si="13"/>
        <v>0</v>
      </c>
    </row>
    <row r="73" spans="1:27" ht="18.75" customHeight="1">
      <c r="A73" s="441">
        <v>18</v>
      </c>
      <c r="B73" s="8" t="s">
        <v>83</v>
      </c>
      <c r="C73" s="457" t="s">
        <v>51</v>
      </c>
      <c r="D73" s="478">
        <f t="shared" si="0"/>
        <v>3.0115499999999997</v>
      </c>
      <c r="E73" s="18">
        <f t="shared" ref="E73:L74" si="14">E75+E77+E79+E81</f>
        <v>0</v>
      </c>
      <c r="F73" s="18">
        <f t="shared" si="14"/>
        <v>0</v>
      </c>
      <c r="G73" s="18">
        <f t="shared" si="14"/>
        <v>0</v>
      </c>
      <c r="H73" s="479">
        <f t="shared" si="1"/>
        <v>2.8333499999999998</v>
      </c>
      <c r="I73" s="464">
        <f t="shared" si="14"/>
        <v>2.8333499999999998</v>
      </c>
      <c r="J73" s="484">
        <f t="shared" si="14"/>
        <v>0</v>
      </c>
      <c r="K73" s="491">
        <f t="shared" si="2"/>
        <v>0.1782</v>
      </c>
      <c r="L73" s="464">
        <f t="shared" si="14"/>
        <v>0.1782</v>
      </c>
      <c r="M73" s="18">
        <f>M75+M77+M79+M81</f>
        <v>0</v>
      </c>
      <c r="N73" s="18">
        <f t="shared" ref="N73:X74" si="15">N75+N77+N79+N81</f>
        <v>0</v>
      </c>
      <c r="O73" s="18">
        <f t="shared" si="15"/>
        <v>0</v>
      </c>
      <c r="P73" s="18">
        <f t="shared" si="15"/>
        <v>0</v>
      </c>
      <c r="Q73" s="18">
        <f t="shared" si="15"/>
        <v>0</v>
      </c>
      <c r="R73" s="18">
        <f t="shared" si="15"/>
        <v>0</v>
      </c>
      <c r="S73" s="18">
        <f t="shared" si="15"/>
        <v>0</v>
      </c>
      <c r="T73" s="18">
        <f t="shared" si="15"/>
        <v>0</v>
      </c>
      <c r="U73" s="18">
        <f t="shared" si="15"/>
        <v>0</v>
      </c>
      <c r="V73" s="18">
        <f t="shared" si="15"/>
        <v>0</v>
      </c>
      <c r="W73" s="18">
        <f t="shared" si="15"/>
        <v>0</v>
      </c>
      <c r="X73" s="18">
        <f t="shared" si="15"/>
        <v>0</v>
      </c>
      <c r="Y73" s="9"/>
      <c r="Z73" s="9"/>
      <c r="AA73" s="9"/>
    </row>
    <row r="74" spans="1:27" ht="15.75">
      <c r="A74" s="17"/>
      <c r="B74" s="8" t="s">
        <v>84</v>
      </c>
      <c r="C74" s="457" t="s">
        <v>21</v>
      </c>
      <c r="D74" s="478">
        <f t="shared" si="0"/>
        <v>3581.2804999999998</v>
      </c>
      <c r="E74" s="18">
        <f t="shared" si="14"/>
        <v>0</v>
      </c>
      <c r="F74" s="18">
        <f t="shared" si="14"/>
        <v>0</v>
      </c>
      <c r="G74" s="18">
        <f t="shared" si="14"/>
        <v>0</v>
      </c>
      <c r="H74" s="479">
        <f t="shared" si="1"/>
        <v>3428.2539999999999</v>
      </c>
      <c r="I74" s="464">
        <f>I76+I78+I80+I82</f>
        <v>3428.2539999999999</v>
      </c>
      <c r="J74" s="484">
        <f>J76+J78+J80+J82</f>
        <v>0</v>
      </c>
      <c r="K74" s="491">
        <f t="shared" si="2"/>
        <v>153.0265</v>
      </c>
      <c r="L74" s="464">
        <f>L76+L78+L80+L82</f>
        <v>153.0265</v>
      </c>
      <c r="M74" s="18">
        <f>M76+M78+M80+M82</f>
        <v>0</v>
      </c>
      <c r="N74" s="18">
        <f t="shared" si="15"/>
        <v>0</v>
      </c>
      <c r="O74" s="18">
        <f t="shared" si="15"/>
        <v>0</v>
      </c>
      <c r="P74" s="18">
        <f t="shared" si="15"/>
        <v>0</v>
      </c>
      <c r="Q74" s="18">
        <f t="shared" si="15"/>
        <v>0</v>
      </c>
      <c r="R74" s="18">
        <f t="shared" si="15"/>
        <v>0</v>
      </c>
      <c r="S74" s="18">
        <f t="shared" si="15"/>
        <v>0</v>
      </c>
      <c r="T74" s="18">
        <f t="shared" si="15"/>
        <v>0</v>
      </c>
      <c r="U74" s="18">
        <f t="shared" si="15"/>
        <v>0</v>
      </c>
      <c r="V74" s="18">
        <f t="shared" si="15"/>
        <v>0</v>
      </c>
      <c r="W74" s="18">
        <f t="shared" si="15"/>
        <v>0</v>
      </c>
      <c r="X74" s="18">
        <f t="shared" si="15"/>
        <v>0</v>
      </c>
      <c r="Y74" s="9"/>
      <c r="Z74" s="9"/>
      <c r="AA74" s="9"/>
    </row>
    <row r="75" spans="1:27" ht="15.75">
      <c r="A75" s="447" t="s">
        <v>85</v>
      </c>
      <c r="B75" s="19" t="s">
        <v>86</v>
      </c>
      <c r="C75" s="457" t="s">
        <v>87</v>
      </c>
      <c r="D75" s="478">
        <f t="shared" si="0"/>
        <v>0.24949999999999997</v>
      </c>
      <c r="E75" s="18">
        <f t="shared" ref="E75:E86" si="16">F75+G75</f>
        <v>0</v>
      </c>
      <c r="F75" s="20"/>
      <c r="G75" s="20"/>
      <c r="H75" s="479">
        <f t="shared" si="1"/>
        <v>0.22999999999999998</v>
      </c>
      <c r="I75" s="466">
        <f>'1 квартал'!I75+'2 квартал'!I75</f>
        <v>0.22999999999999998</v>
      </c>
      <c r="J75" s="466">
        <f>'1 квартал'!J75+'2 квартал'!J75</f>
        <v>0</v>
      </c>
      <c r="K75" s="491">
        <f t="shared" si="2"/>
        <v>1.95E-2</v>
      </c>
      <c r="L75" s="466">
        <f>'1 квартал'!L75+'2 квартал'!L75</f>
        <v>1.95E-2</v>
      </c>
      <c r="M75" s="466">
        <f>'1 квартал'!M75+'2 квартал'!M75</f>
        <v>0</v>
      </c>
      <c r="N75" s="18">
        <f t="shared" ref="N75:N86" si="17">O75</f>
        <v>0</v>
      </c>
      <c r="O75" s="21"/>
      <c r="P75" s="18">
        <f t="shared" ref="P75:P86" si="18">Q75</f>
        <v>0</v>
      </c>
      <c r="Q75" s="18"/>
      <c r="R75" s="18">
        <f t="shared" ref="R75:R86" si="19">S75+T75</f>
        <v>0</v>
      </c>
      <c r="S75" s="18"/>
      <c r="T75" s="18"/>
      <c r="U75" s="18">
        <f t="shared" ref="U75:U86" si="20">V75</f>
        <v>0</v>
      </c>
      <c r="V75" s="18"/>
      <c r="W75" s="18">
        <f t="shared" ref="W75:W86" si="21">X75</f>
        <v>0</v>
      </c>
      <c r="X75" s="18"/>
      <c r="Y75" s="9"/>
      <c r="Z75" s="9"/>
      <c r="AA75" s="9"/>
    </row>
    <row r="76" spans="1:27" ht="15.75">
      <c r="A76" s="17"/>
      <c r="B76" s="19"/>
      <c r="C76" s="457" t="s">
        <v>21</v>
      </c>
      <c r="D76" s="478">
        <f t="shared" si="0"/>
        <v>198.00800000000004</v>
      </c>
      <c r="E76" s="18">
        <f t="shared" si="16"/>
        <v>0</v>
      </c>
      <c r="F76" s="20"/>
      <c r="G76" s="20"/>
      <c r="H76" s="479">
        <f t="shared" si="1"/>
        <v>185.11200000000002</v>
      </c>
      <c r="I76" s="466">
        <f>'1 квартал'!I76+'2 квартал'!I76</f>
        <v>185.11200000000002</v>
      </c>
      <c r="J76" s="466">
        <f>'1 квартал'!J76+'2 квартал'!J76</f>
        <v>0</v>
      </c>
      <c r="K76" s="491">
        <f t="shared" si="2"/>
        <v>12.896000000000001</v>
      </c>
      <c r="L76" s="466">
        <f>'1 квартал'!L76+'2 квартал'!L76</f>
        <v>12.896000000000001</v>
      </c>
      <c r="M76" s="466">
        <f>'1 квартал'!M76+'2 квартал'!M76</f>
        <v>0</v>
      </c>
      <c r="N76" s="18">
        <f t="shared" si="17"/>
        <v>0</v>
      </c>
      <c r="O76" s="21"/>
      <c r="P76" s="18">
        <f t="shared" si="18"/>
        <v>0</v>
      </c>
      <c r="Q76" s="18"/>
      <c r="R76" s="18">
        <f t="shared" si="19"/>
        <v>0</v>
      </c>
      <c r="S76" s="18"/>
      <c r="T76" s="18"/>
      <c r="U76" s="18">
        <f t="shared" si="20"/>
        <v>0</v>
      </c>
      <c r="V76" s="18"/>
      <c r="W76" s="18">
        <f t="shared" si="21"/>
        <v>0</v>
      </c>
      <c r="X76" s="18"/>
      <c r="Y76" s="9"/>
      <c r="Z76" s="9"/>
      <c r="AA76" s="9"/>
    </row>
    <row r="77" spans="1:27" ht="15.75">
      <c r="A77" s="447" t="s">
        <v>88</v>
      </c>
      <c r="B77" s="19" t="s">
        <v>89</v>
      </c>
      <c r="C77" s="457" t="s">
        <v>51</v>
      </c>
      <c r="D77" s="478">
        <f t="shared" ref="D77:D97" si="22">H77+K77</f>
        <v>0.93330000000000002</v>
      </c>
      <c r="E77" s="18">
        <f t="shared" si="16"/>
        <v>0</v>
      </c>
      <c r="F77" s="20"/>
      <c r="G77" s="20"/>
      <c r="H77" s="479">
        <f t="shared" si="1"/>
        <v>0.84650000000000003</v>
      </c>
      <c r="I77" s="466">
        <f>'1 квартал'!I77+'2 квартал'!I77</f>
        <v>0.84650000000000003</v>
      </c>
      <c r="J77" s="466">
        <f>'1 квартал'!J77+'2 квартал'!J77</f>
        <v>0</v>
      </c>
      <c r="K77" s="491">
        <f t="shared" si="2"/>
        <v>8.6800000000000002E-2</v>
      </c>
      <c r="L77" s="466">
        <f>'1 квартал'!L77+'2 квартал'!L77</f>
        <v>8.6800000000000002E-2</v>
      </c>
      <c r="M77" s="466">
        <f>'1 квартал'!M77+'2 квартал'!M77</f>
        <v>0</v>
      </c>
      <c r="N77" s="18">
        <f t="shared" si="17"/>
        <v>0</v>
      </c>
      <c r="O77" s="21"/>
      <c r="P77" s="18">
        <f t="shared" si="18"/>
        <v>0</v>
      </c>
      <c r="Q77" s="18"/>
      <c r="R77" s="18">
        <f t="shared" si="19"/>
        <v>0</v>
      </c>
      <c r="S77" s="18"/>
      <c r="T77" s="18"/>
      <c r="U77" s="18">
        <f t="shared" si="20"/>
        <v>0</v>
      </c>
      <c r="V77" s="18"/>
      <c r="W77" s="18">
        <f t="shared" si="21"/>
        <v>0</v>
      </c>
      <c r="X77" s="18"/>
      <c r="Y77" s="9"/>
      <c r="Z77" s="9"/>
      <c r="AA77" s="9"/>
    </row>
    <row r="78" spans="1:27" ht="15.75">
      <c r="A78" s="17"/>
      <c r="B78" s="19"/>
      <c r="C78" s="457" t="s">
        <v>21</v>
      </c>
      <c r="D78" s="478">
        <f t="shared" si="22"/>
        <v>782.995</v>
      </c>
      <c r="E78" s="18">
        <f t="shared" si="16"/>
        <v>0</v>
      </c>
      <c r="F78" s="20"/>
      <c r="G78" s="20"/>
      <c r="H78" s="479">
        <f t="shared" ref="H78:H97" si="23">I78+J78</f>
        <v>717.18200000000002</v>
      </c>
      <c r="I78" s="466">
        <f>'1 квартал'!I78+'2 квартал'!I78</f>
        <v>717.18200000000002</v>
      </c>
      <c r="J78" s="466">
        <f>'1 квартал'!J78+'2 квартал'!J78</f>
        <v>0</v>
      </c>
      <c r="K78" s="491">
        <f t="shared" ref="K78:K97" si="24">L78+M78</f>
        <v>65.813000000000002</v>
      </c>
      <c r="L78" s="466">
        <f>'1 квартал'!L78+'2 квартал'!L78</f>
        <v>65.813000000000002</v>
      </c>
      <c r="M78" s="466">
        <f>'1 квартал'!M78+'2 квартал'!M78</f>
        <v>0</v>
      </c>
      <c r="N78" s="18">
        <f t="shared" si="17"/>
        <v>0</v>
      </c>
      <c r="O78" s="21"/>
      <c r="P78" s="18">
        <f t="shared" si="18"/>
        <v>0</v>
      </c>
      <c r="Q78" s="18"/>
      <c r="R78" s="18">
        <f t="shared" si="19"/>
        <v>0</v>
      </c>
      <c r="S78" s="18"/>
      <c r="T78" s="18"/>
      <c r="U78" s="18">
        <f t="shared" si="20"/>
        <v>0</v>
      </c>
      <c r="V78" s="18"/>
      <c r="W78" s="18">
        <f t="shared" si="21"/>
        <v>0</v>
      </c>
      <c r="X78" s="18"/>
      <c r="Y78" s="9"/>
      <c r="Z78" s="9"/>
      <c r="AA78" s="9"/>
    </row>
    <row r="79" spans="1:27" ht="15.75">
      <c r="A79" s="447" t="s">
        <v>90</v>
      </c>
      <c r="B79" s="19" t="s">
        <v>91</v>
      </c>
      <c r="C79" s="457" t="s">
        <v>51</v>
      </c>
      <c r="D79" s="478">
        <f t="shared" si="22"/>
        <v>0.86949999999999972</v>
      </c>
      <c r="E79" s="18">
        <f t="shared" si="16"/>
        <v>0</v>
      </c>
      <c r="F79" s="20"/>
      <c r="G79" s="20"/>
      <c r="H79" s="479">
        <f t="shared" si="23"/>
        <v>0.83039999999999969</v>
      </c>
      <c r="I79" s="466">
        <f>'1 квартал'!I79+'2 квартал'!I79</f>
        <v>0.83039999999999969</v>
      </c>
      <c r="J79" s="466">
        <f>'1 квартал'!J79+'2 квартал'!J79</f>
        <v>0</v>
      </c>
      <c r="K79" s="491">
        <f t="shared" si="24"/>
        <v>3.9100000000000003E-2</v>
      </c>
      <c r="L79" s="466">
        <f>'1 квартал'!L79+'2 квартал'!L79</f>
        <v>3.9100000000000003E-2</v>
      </c>
      <c r="M79" s="466">
        <f>'1 квартал'!M79+'2 квартал'!M79</f>
        <v>0</v>
      </c>
      <c r="N79" s="18">
        <f t="shared" si="17"/>
        <v>0</v>
      </c>
      <c r="O79" s="21"/>
      <c r="P79" s="18">
        <f t="shared" si="18"/>
        <v>0</v>
      </c>
      <c r="Q79" s="18"/>
      <c r="R79" s="18">
        <f t="shared" si="19"/>
        <v>0</v>
      </c>
      <c r="S79" s="18"/>
      <c r="T79" s="18"/>
      <c r="U79" s="18">
        <f t="shared" si="20"/>
        <v>0</v>
      </c>
      <c r="V79" s="18"/>
      <c r="W79" s="18">
        <f t="shared" si="21"/>
        <v>0</v>
      </c>
      <c r="X79" s="18"/>
      <c r="Y79" s="9"/>
      <c r="Z79" s="9"/>
      <c r="AA79" s="9"/>
    </row>
    <row r="80" spans="1:27" ht="15.75">
      <c r="A80" s="17"/>
      <c r="B80" s="19"/>
      <c r="C80" s="457" t="s">
        <v>21</v>
      </c>
      <c r="D80" s="478">
        <f t="shared" si="22"/>
        <v>786.87999999999988</v>
      </c>
      <c r="E80" s="18">
        <f t="shared" si="16"/>
        <v>0</v>
      </c>
      <c r="F80" s="20"/>
      <c r="G80" s="20"/>
      <c r="H80" s="479">
        <f t="shared" si="23"/>
        <v>759.3839999999999</v>
      </c>
      <c r="I80" s="466">
        <f>'1 квартал'!I80+'2 квартал'!I80</f>
        <v>759.3839999999999</v>
      </c>
      <c r="J80" s="466">
        <f>'1 квартал'!J80+'2 квартал'!J80</f>
        <v>0</v>
      </c>
      <c r="K80" s="491">
        <f t="shared" si="24"/>
        <v>27.495999999999999</v>
      </c>
      <c r="L80" s="466">
        <f>'1 квартал'!L80+'2 квартал'!L80</f>
        <v>27.495999999999999</v>
      </c>
      <c r="M80" s="466">
        <f>'1 квартал'!M80+'2 квартал'!M80</f>
        <v>0</v>
      </c>
      <c r="N80" s="18">
        <f t="shared" si="17"/>
        <v>0</v>
      </c>
      <c r="O80" s="21"/>
      <c r="P80" s="18">
        <f t="shared" si="18"/>
        <v>0</v>
      </c>
      <c r="Q80" s="18"/>
      <c r="R80" s="18">
        <f t="shared" si="19"/>
        <v>0</v>
      </c>
      <c r="S80" s="18"/>
      <c r="T80" s="18"/>
      <c r="U80" s="18">
        <f t="shared" si="20"/>
        <v>0</v>
      </c>
      <c r="V80" s="18"/>
      <c r="W80" s="18">
        <f t="shared" si="21"/>
        <v>0</v>
      </c>
      <c r="X80" s="18"/>
      <c r="Y80" s="9"/>
      <c r="Z80" s="9"/>
      <c r="AA80" s="9"/>
    </row>
    <row r="81" spans="1:27" ht="15.75">
      <c r="A81" s="447" t="s">
        <v>92</v>
      </c>
      <c r="B81" s="19" t="s">
        <v>93</v>
      </c>
      <c r="C81" s="457" t="s">
        <v>51</v>
      </c>
      <c r="D81" s="478">
        <f t="shared" si="22"/>
        <v>0.95925000000000005</v>
      </c>
      <c r="E81" s="18">
        <f t="shared" si="16"/>
        <v>0</v>
      </c>
      <c r="F81" s="20"/>
      <c r="G81" s="20"/>
      <c r="H81" s="479">
        <f t="shared" si="23"/>
        <v>0.92645</v>
      </c>
      <c r="I81" s="466">
        <f>'1 квартал'!I81+'2 квартал'!I81</f>
        <v>0.92645</v>
      </c>
      <c r="J81" s="466">
        <f>'1 квартал'!J81+'2 квартал'!J81</f>
        <v>0</v>
      </c>
      <c r="K81" s="491">
        <f t="shared" si="24"/>
        <v>3.2800000000000003E-2</v>
      </c>
      <c r="L81" s="466">
        <f>'1 квартал'!L81+'2 квартал'!L81</f>
        <v>3.2800000000000003E-2</v>
      </c>
      <c r="M81" s="466">
        <f>'1 квартал'!M81+'2 квартал'!M81</f>
        <v>0</v>
      </c>
      <c r="N81" s="18">
        <f t="shared" si="17"/>
        <v>0</v>
      </c>
      <c r="O81" s="21"/>
      <c r="P81" s="18">
        <f t="shared" si="18"/>
        <v>0</v>
      </c>
      <c r="Q81" s="18"/>
      <c r="R81" s="18">
        <f t="shared" si="19"/>
        <v>0</v>
      </c>
      <c r="S81" s="18"/>
      <c r="T81" s="18"/>
      <c r="U81" s="18">
        <f t="shared" si="20"/>
        <v>0</v>
      </c>
      <c r="V81" s="18"/>
      <c r="W81" s="18">
        <f t="shared" si="21"/>
        <v>0</v>
      </c>
      <c r="X81" s="18"/>
      <c r="Y81" s="9"/>
      <c r="Z81" s="9"/>
      <c r="AA81" s="9"/>
    </row>
    <row r="82" spans="1:27" ht="15.75">
      <c r="A82" s="17"/>
      <c r="B82" s="19"/>
      <c r="C82" s="457" t="s">
        <v>21</v>
      </c>
      <c r="D82" s="478">
        <f t="shared" si="22"/>
        <v>1813.3975</v>
      </c>
      <c r="E82" s="18">
        <f t="shared" si="16"/>
        <v>0</v>
      </c>
      <c r="F82" s="20"/>
      <c r="G82" s="20"/>
      <c r="H82" s="479">
        <f t="shared" si="23"/>
        <v>1766.576</v>
      </c>
      <c r="I82" s="466">
        <f>'1 квартал'!I82+'2 квартал'!I82</f>
        <v>1766.576</v>
      </c>
      <c r="J82" s="466">
        <f>'1 квартал'!J82+'2 квартал'!J82</f>
        <v>0</v>
      </c>
      <c r="K82" s="491">
        <f t="shared" si="24"/>
        <v>46.8215</v>
      </c>
      <c r="L82" s="466">
        <f>'1 квартал'!L82+'2 квартал'!L82</f>
        <v>46.8215</v>
      </c>
      <c r="M82" s="466">
        <f>'1 квартал'!M82+'2 квартал'!M82</f>
        <v>0</v>
      </c>
      <c r="N82" s="18">
        <f t="shared" si="17"/>
        <v>0</v>
      </c>
      <c r="O82" s="21"/>
      <c r="P82" s="18">
        <f t="shared" si="18"/>
        <v>0</v>
      </c>
      <c r="Q82" s="18"/>
      <c r="R82" s="18">
        <f t="shared" si="19"/>
        <v>0</v>
      </c>
      <c r="S82" s="18"/>
      <c r="T82" s="18"/>
      <c r="U82" s="18">
        <f t="shared" si="20"/>
        <v>0</v>
      </c>
      <c r="V82" s="18"/>
      <c r="W82" s="18">
        <f t="shared" si="21"/>
        <v>0</v>
      </c>
      <c r="X82" s="18"/>
      <c r="Y82" s="9"/>
      <c r="Z82" s="9"/>
      <c r="AA82" s="9"/>
    </row>
    <row r="83" spans="1:27" ht="15.75">
      <c r="A83" s="441">
        <v>19</v>
      </c>
      <c r="B83" s="8" t="s">
        <v>94</v>
      </c>
      <c r="C83" s="457" t="s">
        <v>47</v>
      </c>
      <c r="D83" s="478">
        <f t="shared" si="22"/>
        <v>90</v>
      </c>
      <c r="E83" s="18">
        <f t="shared" si="16"/>
        <v>0</v>
      </c>
      <c r="F83" s="20"/>
      <c r="G83" s="20"/>
      <c r="H83" s="479">
        <f t="shared" si="23"/>
        <v>77</v>
      </c>
      <c r="I83" s="466">
        <f>'1 квартал'!I83+'2 квартал'!I83</f>
        <v>77</v>
      </c>
      <c r="J83" s="466">
        <f>'1 квартал'!J83+'2 квартал'!J83</f>
        <v>0</v>
      </c>
      <c r="K83" s="491">
        <f t="shared" si="24"/>
        <v>13</v>
      </c>
      <c r="L83" s="466">
        <f>'1 квартал'!L83+'2 квартал'!L83</f>
        <v>13</v>
      </c>
      <c r="M83" s="466">
        <f>'1 квартал'!M83+'2 квартал'!M83</f>
        <v>0</v>
      </c>
      <c r="N83" s="18">
        <f t="shared" si="17"/>
        <v>0</v>
      </c>
      <c r="O83" s="21"/>
      <c r="P83" s="18">
        <f t="shared" si="18"/>
        <v>0</v>
      </c>
      <c r="Q83" s="18"/>
      <c r="R83" s="18">
        <f t="shared" si="19"/>
        <v>0</v>
      </c>
      <c r="S83" s="18"/>
      <c r="T83" s="18"/>
      <c r="U83" s="18">
        <f t="shared" si="20"/>
        <v>0</v>
      </c>
      <c r="V83" s="18"/>
      <c r="W83" s="18">
        <f t="shared" si="21"/>
        <v>0</v>
      </c>
      <c r="X83" s="18"/>
      <c r="Y83" s="9"/>
      <c r="Z83" s="9"/>
      <c r="AA83" s="9"/>
    </row>
    <row r="84" spans="1:27" ht="15.75">
      <c r="A84" s="17"/>
      <c r="B84" s="19"/>
      <c r="C84" s="457" t="s">
        <v>21</v>
      </c>
      <c r="D84" s="478">
        <f t="shared" si="22"/>
        <v>552.02099999999996</v>
      </c>
      <c r="E84" s="18">
        <f t="shared" si="16"/>
        <v>0</v>
      </c>
      <c r="F84" s="20"/>
      <c r="G84" s="20"/>
      <c r="H84" s="479">
        <f t="shared" si="23"/>
        <v>473.57499999999999</v>
      </c>
      <c r="I84" s="466">
        <f>'1 квартал'!I84+'2 квартал'!I84</f>
        <v>473.57499999999999</v>
      </c>
      <c r="J84" s="466">
        <f>'1 квартал'!J84+'2 квартал'!J84</f>
        <v>0</v>
      </c>
      <c r="K84" s="491">
        <f t="shared" si="24"/>
        <v>78.446000000000012</v>
      </c>
      <c r="L84" s="466">
        <f>'1 квартал'!L84+'2 квартал'!L84</f>
        <v>78.446000000000012</v>
      </c>
      <c r="M84" s="466">
        <f>'1 квартал'!M84+'2 квартал'!M84</f>
        <v>0</v>
      </c>
      <c r="N84" s="18">
        <f t="shared" si="17"/>
        <v>0</v>
      </c>
      <c r="O84" s="21"/>
      <c r="P84" s="18">
        <f t="shared" si="18"/>
        <v>0</v>
      </c>
      <c r="Q84" s="18"/>
      <c r="R84" s="18">
        <f t="shared" si="19"/>
        <v>0</v>
      </c>
      <c r="S84" s="18"/>
      <c r="T84" s="18"/>
      <c r="U84" s="18">
        <f t="shared" si="20"/>
        <v>0</v>
      </c>
      <c r="V84" s="18"/>
      <c r="W84" s="18">
        <f t="shared" si="21"/>
        <v>0</v>
      </c>
      <c r="X84" s="18"/>
      <c r="Y84" s="9"/>
      <c r="Z84" s="9"/>
      <c r="AA84" s="9"/>
    </row>
    <row r="85" spans="1:27" ht="15.75">
      <c r="A85" s="17" t="s">
        <v>95</v>
      </c>
      <c r="B85" s="8" t="s">
        <v>197</v>
      </c>
      <c r="C85" s="457" t="s">
        <v>47</v>
      </c>
      <c r="D85" s="478">
        <f t="shared" si="22"/>
        <v>466</v>
      </c>
      <c r="E85" s="18">
        <f t="shared" si="16"/>
        <v>0</v>
      </c>
      <c r="F85" s="20"/>
      <c r="G85" s="20"/>
      <c r="H85" s="479">
        <f t="shared" si="23"/>
        <v>443</v>
      </c>
      <c r="I85" s="466">
        <f>'1 квартал'!I85+'2 квартал'!I85</f>
        <v>443</v>
      </c>
      <c r="J85" s="466">
        <f>'1 квартал'!J85+'2 квартал'!J85</f>
        <v>0</v>
      </c>
      <c r="K85" s="491">
        <f t="shared" si="24"/>
        <v>23</v>
      </c>
      <c r="L85" s="466">
        <f>'1 квартал'!L85+'2 квартал'!L85</f>
        <v>23</v>
      </c>
      <c r="M85" s="466">
        <f>'1 квартал'!M85+'2 квартал'!M85</f>
        <v>0</v>
      </c>
      <c r="N85" s="18">
        <f t="shared" si="17"/>
        <v>0</v>
      </c>
      <c r="O85" s="21"/>
      <c r="P85" s="18">
        <f t="shared" si="18"/>
        <v>0</v>
      </c>
      <c r="Q85" s="18"/>
      <c r="R85" s="18">
        <f t="shared" si="19"/>
        <v>0</v>
      </c>
      <c r="S85" s="18"/>
      <c r="T85" s="18"/>
      <c r="U85" s="18">
        <f t="shared" si="20"/>
        <v>0</v>
      </c>
      <c r="V85" s="18"/>
      <c r="W85" s="18">
        <f t="shared" si="21"/>
        <v>0</v>
      </c>
      <c r="X85" s="18"/>
      <c r="Y85" s="9"/>
      <c r="Z85" s="9"/>
      <c r="AA85" s="9"/>
    </row>
    <row r="86" spans="1:27" ht="15.75">
      <c r="A86" s="448"/>
      <c r="B86" s="8" t="s">
        <v>97</v>
      </c>
      <c r="C86" s="457" t="s">
        <v>21</v>
      </c>
      <c r="D86" s="478">
        <f t="shared" si="22"/>
        <v>419.58999999999992</v>
      </c>
      <c r="E86" s="18">
        <f t="shared" si="16"/>
        <v>0</v>
      </c>
      <c r="F86" s="20"/>
      <c r="G86" s="20"/>
      <c r="H86" s="479">
        <f t="shared" si="23"/>
        <v>403.12999999999994</v>
      </c>
      <c r="I86" s="466">
        <f>'1 квартал'!I86+'2 квартал'!I86</f>
        <v>403.12999999999994</v>
      </c>
      <c r="J86" s="466">
        <f>'1 квартал'!J86+'2 квартал'!J86</f>
        <v>0</v>
      </c>
      <c r="K86" s="491">
        <f t="shared" si="24"/>
        <v>16.46</v>
      </c>
      <c r="L86" s="466">
        <f>'1 квартал'!L86+'2 квартал'!L86</f>
        <v>16.46</v>
      </c>
      <c r="M86" s="466">
        <f>'1 квартал'!M86+'2 квартал'!M86</f>
        <v>0</v>
      </c>
      <c r="N86" s="18">
        <f t="shared" si="17"/>
        <v>0</v>
      </c>
      <c r="O86" s="21"/>
      <c r="P86" s="18">
        <f t="shared" si="18"/>
        <v>0</v>
      </c>
      <c r="Q86" s="18"/>
      <c r="R86" s="18">
        <f t="shared" si="19"/>
        <v>0</v>
      </c>
      <c r="S86" s="18"/>
      <c r="T86" s="18"/>
      <c r="U86" s="18">
        <f t="shared" si="20"/>
        <v>0</v>
      </c>
      <c r="V86" s="18"/>
      <c r="W86" s="18">
        <f t="shared" si="21"/>
        <v>0</v>
      </c>
      <c r="X86" s="18"/>
      <c r="Y86" s="9"/>
      <c r="Z86" s="9"/>
      <c r="AA86" s="9"/>
    </row>
    <row r="87" spans="1:27" s="22" customFormat="1" ht="15.75">
      <c r="A87" s="444" t="s">
        <v>98</v>
      </c>
      <c r="B87" s="445" t="s">
        <v>99</v>
      </c>
      <c r="C87" s="460" t="s">
        <v>21</v>
      </c>
      <c r="D87" s="478">
        <f t="shared" si="22"/>
        <v>2569.1259999999993</v>
      </c>
      <c r="E87" s="446">
        <f t="shared" ref="E87:X87" si="25">E89+E91+E93</f>
        <v>0</v>
      </c>
      <c r="F87" s="446">
        <f t="shared" si="25"/>
        <v>0</v>
      </c>
      <c r="G87" s="446">
        <f t="shared" si="25"/>
        <v>0</v>
      </c>
      <c r="H87" s="479">
        <f t="shared" si="23"/>
        <v>2499.5499999999993</v>
      </c>
      <c r="I87" s="469">
        <f t="shared" si="25"/>
        <v>2499.5499999999993</v>
      </c>
      <c r="J87" s="487">
        <f t="shared" si="25"/>
        <v>0</v>
      </c>
      <c r="K87" s="491">
        <f t="shared" si="24"/>
        <v>69.575999999999993</v>
      </c>
      <c r="L87" s="469">
        <f t="shared" si="25"/>
        <v>69.575999999999993</v>
      </c>
      <c r="M87" s="446">
        <f t="shared" si="25"/>
        <v>0</v>
      </c>
      <c r="N87" s="446">
        <f t="shared" si="25"/>
        <v>0</v>
      </c>
      <c r="O87" s="446">
        <f t="shared" si="25"/>
        <v>0</v>
      </c>
      <c r="P87" s="446">
        <f t="shared" si="25"/>
        <v>0</v>
      </c>
      <c r="Q87" s="446">
        <f t="shared" si="25"/>
        <v>0</v>
      </c>
      <c r="R87" s="446">
        <f t="shared" si="25"/>
        <v>0</v>
      </c>
      <c r="S87" s="446">
        <f t="shared" si="25"/>
        <v>0</v>
      </c>
      <c r="T87" s="446">
        <f t="shared" si="25"/>
        <v>0</v>
      </c>
      <c r="U87" s="446">
        <f t="shared" si="25"/>
        <v>0</v>
      </c>
      <c r="V87" s="446">
        <f t="shared" si="25"/>
        <v>0</v>
      </c>
      <c r="W87" s="446">
        <f t="shared" si="25"/>
        <v>0</v>
      </c>
      <c r="X87" s="446">
        <f t="shared" si="25"/>
        <v>0</v>
      </c>
      <c r="Y87" s="23"/>
      <c r="Z87" s="23"/>
      <c r="AA87" s="23"/>
    </row>
    <row r="88" spans="1:27" ht="15.75">
      <c r="A88" s="441">
        <v>20</v>
      </c>
      <c r="B88" s="8" t="s">
        <v>100</v>
      </c>
      <c r="C88" s="457" t="s">
        <v>51</v>
      </c>
      <c r="D88" s="478">
        <f t="shared" si="22"/>
        <v>1.9270000000000003</v>
      </c>
      <c r="E88" s="18">
        <f>F88+G88</f>
        <v>0</v>
      </c>
      <c r="F88" s="20"/>
      <c r="G88" s="20"/>
      <c r="H88" s="479">
        <f t="shared" si="23"/>
        <v>1.8610000000000002</v>
      </c>
      <c r="I88" s="470">
        <f>'1 квартал'!I88+'2 квартал'!I88</f>
        <v>1.8610000000000002</v>
      </c>
      <c r="J88" s="470">
        <f>'1 квартал'!J88+'2 квартал'!J88</f>
        <v>0</v>
      </c>
      <c r="K88" s="491">
        <f t="shared" si="24"/>
        <v>6.6000000000000003E-2</v>
      </c>
      <c r="L88" s="466">
        <f>'1 квартал'!L88+'2 квартал'!L88</f>
        <v>6.6000000000000003E-2</v>
      </c>
      <c r="M88" s="466">
        <f>'1 квартал'!M88+'2 квартал'!M88</f>
        <v>0</v>
      </c>
      <c r="N88" s="18">
        <f t="shared" ref="N88:N93" si="26">O88</f>
        <v>0</v>
      </c>
      <c r="O88" s="17"/>
      <c r="P88" s="18">
        <f t="shared" ref="P88:P93" si="27">Q88</f>
        <v>0</v>
      </c>
      <c r="Q88" s="18"/>
      <c r="R88" s="18">
        <f t="shared" ref="R88:R93" si="28">S88+T88</f>
        <v>0</v>
      </c>
      <c r="S88" s="18"/>
      <c r="T88" s="18"/>
      <c r="U88" s="18">
        <f t="shared" ref="U88:U93" si="29">V88</f>
        <v>0</v>
      </c>
      <c r="V88" s="18"/>
      <c r="W88" s="18">
        <f t="shared" ref="W88:W93" si="30">X88</f>
        <v>0</v>
      </c>
      <c r="X88" s="18"/>
    </row>
    <row r="89" spans="1:27" ht="15.75">
      <c r="A89" s="449"/>
      <c r="B89" s="8" t="s">
        <v>101</v>
      </c>
      <c r="C89" s="457" t="s">
        <v>21</v>
      </c>
      <c r="D89" s="478">
        <f t="shared" si="22"/>
        <v>343.89599999999996</v>
      </c>
      <c r="E89" s="18">
        <f>F89+G89</f>
        <v>0</v>
      </c>
      <c r="F89" s="20"/>
      <c r="G89" s="20"/>
      <c r="H89" s="479">
        <f t="shared" si="23"/>
        <v>336.94899999999996</v>
      </c>
      <c r="I89" s="470">
        <f>'1 квартал'!I89+'2 квартал'!I89</f>
        <v>336.94899999999996</v>
      </c>
      <c r="J89" s="470">
        <f>'1 квартал'!J89+'2 квартал'!J89</f>
        <v>0</v>
      </c>
      <c r="K89" s="491">
        <f t="shared" si="24"/>
        <v>6.9470000000000001</v>
      </c>
      <c r="L89" s="466">
        <f>'1 квартал'!L89+'2 квартал'!L89</f>
        <v>6.9470000000000001</v>
      </c>
      <c r="M89" s="466">
        <f>'1 квартал'!M89+'2 квартал'!M89</f>
        <v>0</v>
      </c>
      <c r="N89" s="18">
        <f t="shared" si="26"/>
        <v>0</v>
      </c>
      <c r="O89" s="17"/>
      <c r="P89" s="18">
        <f t="shared" si="27"/>
        <v>0</v>
      </c>
      <c r="Q89" s="18"/>
      <c r="R89" s="18">
        <f t="shared" si="28"/>
        <v>0</v>
      </c>
      <c r="S89" s="18"/>
      <c r="T89" s="18"/>
      <c r="U89" s="18">
        <f t="shared" si="29"/>
        <v>0</v>
      </c>
      <c r="V89" s="18"/>
      <c r="W89" s="18">
        <f t="shared" si="30"/>
        <v>0</v>
      </c>
      <c r="X89" s="18"/>
    </row>
    <row r="90" spans="1:27" ht="15.75">
      <c r="A90" s="441">
        <v>21</v>
      </c>
      <c r="B90" s="8" t="s">
        <v>102</v>
      </c>
      <c r="C90" s="457" t="s">
        <v>47</v>
      </c>
      <c r="D90" s="478">
        <f t="shared" si="22"/>
        <v>1843</v>
      </c>
      <c r="E90" s="18">
        <v>0</v>
      </c>
      <c r="F90" s="20"/>
      <c r="G90" s="20"/>
      <c r="H90" s="479">
        <f>I90+J91</f>
        <v>1784</v>
      </c>
      <c r="I90" s="470">
        <f>'1 квартал'!I90+'2 квартал'!I90</f>
        <v>1784</v>
      </c>
      <c r="J90" s="470">
        <f>'1 квартал'!J90+'2 квартал'!J90</f>
        <v>0</v>
      </c>
      <c r="K90" s="491">
        <f t="shared" si="24"/>
        <v>59</v>
      </c>
      <c r="L90" s="466">
        <f>'1 квартал'!L90+'2 квартал'!L90</f>
        <v>59</v>
      </c>
      <c r="M90" s="466">
        <f>'1 квартал'!M90+'2 квартал'!M90</f>
        <v>0</v>
      </c>
      <c r="N90" s="18">
        <f t="shared" si="26"/>
        <v>0</v>
      </c>
      <c r="O90" s="17"/>
      <c r="P90" s="18">
        <f t="shared" si="27"/>
        <v>0</v>
      </c>
      <c r="Q90" s="18"/>
      <c r="R90" s="18">
        <f t="shared" si="28"/>
        <v>0</v>
      </c>
      <c r="S90" s="18"/>
      <c r="T90" s="18"/>
      <c r="U90" s="18">
        <f t="shared" si="29"/>
        <v>0</v>
      </c>
      <c r="V90" s="18"/>
      <c r="W90" s="18">
        <f t="shared" si="30"/>
        <v>0</v>
      </c>
      <c r="X90" s="18"/>
    </row>
    <row r="91" spans="1:27" ht="15.75">
      <c r="A91" s="449"/>
      <c r="B91" s="8" t="s">
        <v>103</v>
      </c>
      <c r="C91" s="457" t="s">
        <v>21</v>
      </c>
      <c r="D91" s="478">
        <f t="shared" si="22"/>
        <v>1776.0279999999996</v>
      </c>
      <c r="E91" s="18">
        <f>F91+G91</f>
        <v>0</v>
      </c>
      <c r="F91" s="20"/>
      <c r="G91" s="20"/>
      <c r="H91" s="479">
        <f t="shared" ref="H91:H93" si="31">I91+J92</f>
        <v>1728.3649999999996</v>
      </c>
      <c r="I91" s="470">
        <f>'1 квартал'!I91+'2 квартал'!I91</f>
        <v>1728.3649999999996</v>
      </c>
      <c r="J91" s="470">
        <f>'1 квартал'!J91+'2 квартал'!J91</f>
        <v>0</v>
      </c>
      <c r="K91" s="491">
        <f t="shared" si="24"/>
        <v>47.662999999999997</v>
      </c>
      <c r="L91" s="466">
        <f>'1 квартал'!L91+'2 квартал'!L91</f>
        <v>47.662999999999997</v>
      </c>
      <c r="M91" s="466">
        <f>'1 квартал'!M91+'2 квартал'!M91</f>
        <v>0</v>
      </c>
      <c r="N91" s="18">
        <f t="shared" si="26"/>
        <v>0</v>
      </c>
      <c r="O91" s="17"/>
      <c r="P91" s="18">
        <f t="shared" si="27"/>
        <v>0</v>
      </c>
      <c r="Q91" s="18"/>
      <c r="R91" s="18">
        <f t="shared" si="28"/>
        <v>0</v>
      </c>
      <c r="S91" s="18"/>
      <c r="T91" s="18"/>
      <c r="U91" s="18">
        <f t="shared" si="29"/>
        <v>0</v>
      </c>
      <c r="V91" s="18"/>
      <c r="W91" s="18">
        <f t="shared" si="30"/>
        <v>0</v>
      </c>
      <c r="X91" s="18"/>
    </row>
    <row r="92" spans="1:27" ht="15.75">
      <c r="A92" s="17" t="s">
        <v>104</v>
      </c>
      <c r="B92" s="8" t="s">
        <v>105</v>
      </c>
      <c r="C92" s="457" t="s">
        <v>47</v>
      </c>
      <c r="D92" s="478">
        <f t="shared" si="22"/>
        <v>118</v>
      </c>
      <c r="E92" s="18">
        <f>F92+G92</f>
        <v>0</v>
      </c>
      <c r="F92" s="20"/>
      <c r="G92" s="20"/>
      <c r="H92" s="479">
        <f t="shared" si="31"/>
        <v>112</v>
      </c>
      <c r="I92" s="470">
        <f>'1 квартал'!I92+'2 квартал'!I92</f>
        <v>112</v>
      </c>
      <c r="J92" s="470">
        <f>'1 квартал'!J92+'2 квартал'!J92</f>
        <v>0</v>
      </c>
      <c r="K92" s="491">
        <f t="shared" si="24"/>
        <v>6</v>
      </c>
      <c r="L92" s="466">
        <f>'1 квартал'!L92+'2 квартал'!L92</f>
        <v>6</v>
      </c>
      <c r="M92" s="466">
        <f>'1 квартал'!M92+'2 квартал'!M92</f>
        <v>0</v>
      </c>
      <c r="N92" s="18">
        <f t="shared" si="26"/>
        <v>0</v>
      </c>
      <c r="O92" s="21"/>
      <c r="P92" s="18">
        <f t="shared" si="27"/>
        <v>0</v>
      </c>
      <c r="Q92" s="18"/>
      <c r="R92" s="18">
        <f t="shared" si="28"/>
        <v>0</v>
      </c>
      <c r="S92" s="18"/>
      <c r="T92" s="18"/>
      <c r="U92" s="18">
        <f t="shared" si="29"/>
        <v>0</v>
      </c>
      <c r="V92" s="18"/>
      <c r="W92" s="18">
        <f t="shared" si="30"/>
        <v>0</v>
      </c>
      <c r="X92" s="18"/>
    </row>
    <row r="93" spans="1:27" ht="15.75">
      <c r="A93" s="17"/>
      <c r="B93" s="8"/>
      <c r="C93" s="457" t="s">
        <v>21</v>
      </c>
      <c r="D93" s="478">
        <f t="shared" si="22"/>
        <v>449.202</v>
      </c>
      <c r="E93" s="18">
        <f>F93+G93</f>
        <v>0</v>
      </c>
      <c r="F93" s="20"/>
      <c r="G93" s="20"/>
      <c r="H93" s="479">
        <f t="shared" si="31"/>
        <v>434.23599999999999</v>
      </c>
      <c r="I93" s="470">
        <f>'1 квартал'!I93+'2 квартал'!I93</f>
        <v>434.23599999999999</v>
      </c>
      <c r="J93" s="470">
        <f>'1 квартал'!J93+'2 квартал'!J93</f>
        <v>0</v>
      </c>
      <c r="K93" s="491">
        <f t="shared" si="24"/>
        <v>14.966000000000001</v>
      </c>
      <c r="L93" s="466">
        <f>'1 квартал'!L93+'2 квартал'!L93</f>
        <v>14.966000000000001</v>
      </c>
      <c r="M93" s="466">
        <f>'1 квартал'!M93+'2 квартал'!M93</f>
        <v>0</v>
      </c>
      <c r="N93" s="18">
        <f t="shared" si="26"/>
        <v>0</v>
      </c>
      <c r="O93" s="21"/>
      <c r="P93" s="18">
        <f t="shared" si="27"/>
        <v>0</v>
      </c>
      <c r="Q93" s="18"/>
      <c r="R93" s="18">
        <f t="shared" si="28"/>
        <v>0</v>
      </c>
      <c r="S93" s="18"/>
      <c r="T93" s="18"/>
      <c r="U93" s="18">
        <f t="shared" si="29"/>
        <v>0</v>
      </c>
      <c r="V93" s="18"/>
      <c r="W93" s="18">
        <f t="shared" si="30"/>
        <v>0</v>
      </c>
      <c r="X93" s="18"/>
    </row>
    <row r="94" spans="1:27" s="22" customFormat="1" ht="38.25" customHeight="1">
      <c r="A94" s="450" t="s">
        <v>106</v>
      </c>
      <c r="B94" s="451" t="s">
        <v>107</v>
      </c>
      <c r="C94" s="461" t="s">
        <v>21</v>
      </c>
      <c r="D94" s="478">
        <f t="shared" si="22"/>
        <v>0</v>
      </c>
      <c r="E94" s="452">
        <f t="shared" ref="E94:X94" si="32">E95+E96</f>
        <v>0</v>
      </c>
      <c r="F94" s="452">
        <f t="shared" si="32"/>
        <v>0</v>
      </c>
      <c r="G94" s="452">
        <f t="shared" si="32"/>
        <v>0</v>
      </c>
      <c r="H94" s="479">
        <f t="shared" si="23"/>
        <v>0</v>
      </c>
      <c r="I94" s="471">
        <f t="shared" si="32"/>
        <v>0</v>
      </c>
      <c r="J94" s="488">
        <f t="shared" si="32"/>
        <v>0</v>
      </c>
      <c r="K94" s="491">
        <f t="shared" si="24"/>
        <v>0</v>
      </c>
      <c r="L94" s="471">
        <f t="shared" si="32"/>
        <v>0</v>
      </c>
      <c r="M94" s="452">
        <f t="shared" si="32"/>
        <v>0</v>
      </c>
      <c r="N94" s="452">
        <f t="shared" si="32"/>
        <v>0</v>
      </c>
      <c r="O94" s="452">
        <f t="shared" si="32"/>
        <v>0</v>
      </c>
      <c r="P94" s="452">
        <f t="shared" si="32"/>
        <v>0</v>
      </c>
      <c r="Q94" s="452">
        <f t="shared" si="32"/>
        <v>0</v>
      </c>
      <c r="R94" s="452">
        <f t="shared" si="32"/>
        <v>0</v>
      </c>
      <c r="S94" s="452">
        <f t="shared" si="32"/>
        <v>0</v>
      </c>
      <c r="T94" s="452">
        <f t="shared" si="32"/>
        <v>0</v>
      </c>
      <c r="U94" s="452">
        <f t="shared" si="32"/>
        <v>0</v>
      </c>
      <c r="V94" s="452">
        <f t="shared" si="32"/>
        <v>0</v>
      </c>
      <c r="W94" s="452">
        <f t="shared" si="32"/>
        <v>0</v>
      </c>
      <c r="X94" s="452">
        <f t="shared" si="32"/>
        <v>0</v>
      </c>
      <c r="Y94" s="23"/>
      <c r="Z94" s="23"/>
      <c r="AA94" s="23"/>
    </row>
    <row r="95" spans="1:27" ht="15.75">
      <c r="A95" s="17" t="s">
        <v>108</v>
      </c>
      <c r="B95" s="8" t="s">
        <v>194</v>
      </c>
      <c r="C95" s="457" t="s">
        <v>21</v>
      </c>
      <c r="D95" s="478">
        <f t="shared" si="22"/>
        <v>0</v>
      </c>
      <c r="E95" s="18">
        <f>F95+G95</f>
        <v>0</v>
      </c>
      <c r="F95" s="20"/>
      <c r="G95" s="20"/>
      <c r="H95" s="479">
        <f t="shared" si="23"/>
        <v>0</v>
      </c>
      <c r="I95" s="466">
        <f>'1 квартал'!I95+'2 квартал'!I95</f>
        <v>0</v>
      </c>
      <c r="J95" s="466">
        <f>'1 квартал'!J95+'2 квартал'!J95</f>
        <v>0</v>
      </c>
      <c r="K95" s="491">
        <f t="shared" si="24"/>
        <v>0</v>
      </c>
      <c r="L95" s="466">
        <f>'1 квартал'!L95+'2 квартал'!L95</f>
        <v>0</v>
      </c>
      <c r="M95" s="466">
        <f>'1 квартал'!M95+'2 квартал'!M95</f>
        <v>0</v>
      </c>
      <c r="N95" s="18">
        <f>O95</f>
        <v>0</v>
      </c>
      <c r="O95" s="21"/>
      <c r="P95" s="18">
        <f>Q95</f>
        <v>0</v>
      </c>
      <c r="Q95" s="18"/>
      <c r="R95" s="18">
        <f>S95+T95</f>
        <v>0</v>
      </c>
      <c r="S95" s="18"/>
      <c r="T95" s="18"/>
      <c r="U95" s="18">
        <f>V95</f>
        <v>0</v>
      </c>
      <c r="V95" s="18"/>
      <c r="W95" s="18">
        <f>X95</f>
        <v>0</v>
      </c>
      <c r="X95" s="18"/>
    </row>
    <row r="96" spans="1:27" ht="15.75">
      <c r="A96" s="17" t="s">
        <v>109</v>
      </c>
      <c r="B96" s="8" t="s">
        <v>195</v>
      </c>
      <c r="C96" s="457" t="s">
        <v>21</v>
      </c>
      <c r="D96" s="478">
        <f t="shared" si="22"/>
        <v>0</v>
      </c>
      <c r="E96" s="18">
        <f>F96+G96</f>
        <v>0</v>
      </c>
      <c r="F96" s="20"/>
      <c r="G96" s="20"/>
      <c r="H96" s="479">
        <f t="shared" si="23"/>
        <v>0</v>
      </c>
      <c r="I96" s="466">
        <f>'1 квартал'!I96+'2 квартал'!I96</f>
        <v>0</v>
      </c>
      <c r="J96" s="466">
        <f>'1 квартал'!J96+'2 квартал'!J96</f>
        <v>0</v>
      </c>
      <c r="K96" s="491">
        <f t="shared" si="24"/>
        <v>0</v>
      </c>
      <c r="L96" s="466">
        <f>'1 квартал'!L96+'2 квартал'!L96</f>
        <v>0</v>
      </c>
      <c r="M96" s="466">
        <f>'1 квартал'!M96+'2 квартал'!M96</f>
        <v>0</v>
      </c>
      <c r="N96" s="18">
        <f>O96</f>
        <v>0</v>
      </c>
      <c r="O96" s="21"/>
      <c r="P96" s="18">
        <f>Q96</f>
        <v>0</v>
      </c>
      <c r="Q96" s="18"/>
      <c r="R96" s="18">
        <f>S96+T96</f>
        <v>0</v>
      </c>
      <c r="S96" s="18"/>
      <c r="T96" s="18"/>
      <c r="U96" s="18">
        <f>V96</f>
        <v>0</v>
      </c>
      <c r="V96" s="18"/>
      <c r="W96" s="18">
        <f>X96</f>
        <v>0</v>
      </c>
      <c r="X96" s="18"/>
    </row>
    <row r="97" spans="1:27" s="22" customFormat="1" ht="15.75">
      <c r="A97" s="444" t="s">
        <v>110</v>
      </c>
      <c r="B97" s="445" t="s">
        <v>111</v>
      </c>
      <c r="C97" s="460" t="s">
        <v>21</v>
      </c>
      <c r="D97" s="478">
        <f t="shared" si="22"/>
        <v>635.96199999999999</v>
      </c>
      <c r="E97" s="446">
        <f>F97+G97</f>
        <v>0</v>
      </c>
      <c r="F97" s="453"/>
      <c r="G97" s="453"/>
      <c r="H97" s="479">
        <f t="shared" si="23"/>
        <v>601.78899999999999</v>
      </c>
      <c r="I97" s="472">
        <f>'1 квартал'!I97+'2 квартал'!I97</f>
        <v>601.78899999999999</v>
      </c>
      <c r="J97" s="472">
        <f>'1 квартал'!J97+'2 квартал'!J97</f>
        <v>0</v>
      </c>
      <c r="K97" s="491">
        <f t="shared" si="24"/>
        <v>34.172999999999995</v>
      </c>
      <c r="L97" s="489">
        <f>'1 квартал'!L97+'2 квартал'!L97</f>
        <v>34.172999999999995</v>
      </c>
      <c r="M97" s="489">
        <f>'1 квартал'!M97+'2 квартал'!M97</f>
        <v>0</v>
      </c>
      <c r="N97" s="446">
        <f>O97</f>
        <v>0</v>
      </c>
      <c r="O97" s="454"/>
      <c r="P97" s="446">
        <f>Q97</f>
        <v>0</v>
      </c>
      <c r="Q97" s="446"/>
      <c r="R97" s="446">
        <f>S97+T97</f>
        <v>0</v>
      </c>
      <c r="S97" s="446"/>
      <c r="T97" s="446"/>
      <c r="U97" s="446">
        <f>V97</f>
        <v>0</v>
      </c>
      <c r="V97" s="446"/>
      <c r="W97" s="446">
        <f>X97</f>
        <v>0</v>
      </c>
      <c r="X97" s="446"/>
      <c r="Y97" s="23"/>
      <c r="Z97" s="23"/>
      <c r="AA97" s="23"/>
    </row>
    <row r="98" spans="1:27" ht="16.5" thickBot="1">
      <c r="A98" s="423"/>
      <c r="B98" s="8" t="s">
        <v>112</v>
      </c>
      <c r="C98" s="457" t="s">
        <v>21</v>
      </c>
      <c r="D98" s="480">
        <f>H98+K98</f>
        <v>12158.770499999999</v>
      </c>
      <c r="E98" s="481">
        <f t="shared" ref="E98:X98" si="33">E97+E94+E87+E72+E13</f>
        <v>0</v>
      </c>
      <c r="F98" s="481">
        <f t="shared" si="33"/>
        <v>0</v>
      </c>
      <c r="G98" s="481">
        <f t="shared" si="33"/>
        <v>0</v>
      </c>
      <c r="H98" s="482">
        <f>I98+J98</f>
        <v>11581.013999999999</v>
      </c>
      <c r="I98" s="464">
        <f>I97+I94+I87+I72+I13</f>
        <v>10868.937999999998</v>
      </c>
      <c r="J98" s="484">
        <f>J97+J94+J87+J72+J13</f>
        <v>712.07600000000002</v>
      </c>
      <c r="K98" s="492">
        <f>L98+M98</f>
        <v>577.75650000000007</v>
      </c>
      <c r="L98" s="464">
        <f t="shared" si="33"/>
        <v>577.75650000000007</v>
      </c>
      <c r="M98" s="18">
        <f>M97+M94+M87+M72+M13</f>
        <v>0</v>
      </c>
      <c r="N98" s="18">
        <f t="shared" si="33"/>
        <v>0</v>
      </c>
      <c r="O98" s="18">
        <f t="shared" si="33"/>
        <v>0</v>
      </c>
      <c r="P98" s="18">
        <f t="shared" si="33"/>
        <v>0</v>
      </c>
      <c r="Q98" s="18">
        <f t="shared" si="33"/>
        <v>0</v>
      </c>
      <c r="R98" s="18">
        <f t="shared" si="33"/>
        <v>0</v>
      </c>
      <c r="S98" s="18">
        <f t="shared" si="33"/>
        <v>0</v>
      </c>
      <c r="T98" s="18">
        <f t="shared" si="33"/>
        <v>0</v>
      </c>
      <c r="U98" s="18">
        <f t="shared" si="33"/>
        <v>0</v>
      </c>
      <c r="V98" s="18">
        <f t="shared" si="33"/>
        <v>0</v>
      </c>
      <c r="W98" s="18">
        <f t="shared" si="33"/>
        <v>0</v>
      </c>
      <c r="X98" s="18">
        <f t="shared" si="33"/>
        <v>0</v>
      </c>
    </row>
    <row r="99" spans="1:27" s="26" customFormat="1" ht="12.75">
      <c r="A99" s="24"/>
      <c r="B99" s="25"/>
      <c r="C99" s="25"/>
      <c r="D99" s="25">
        <v>80648.726999999999</v>
      </c>
      <c r="E99" s="25">
        <f>80648.727-D98</f>
        <v>68489.9565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480.23199999999997</v>
      </c>
      <c r="E100" s="27"/>
      <c r="F100" s="27"/>
      <c r="G100" s="27"/>
      <c r="H100" s="27"/>
      <c r="I100" s="27">
        <f>H97-I97</f>
        <v>0</v>
      </c>
      <c r="J100" s="27">
        <f>I97+E99</f>
        <v>69091.745500000005</v>
      </c>
      <c r="K100" s="27"/>
      <c r="L100" s="27"/>
      <c r="M100" s="27">
        <f>9567.184-K98</f>
        <v>8989.4274999999998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>
      <c r="A101" s="1885" t="s">
        <v>113</v>
      </c>
      <c r="B101" s="1885"/>
      <c r="C101" s="1885"/>
      <c r="D101" s="1885"/>
      <c r="E101" s="1885"/>
      <c r="F101" s="1885"/>
      <c r="G101" s="1885"/>
      <c r="H101" s="1885"/>
      <c r="I101" s="1885"/>
      <c r="J101" s="1885"/>
      <c r="K101" s="1885"/>
      <c r="L101" s="1885"/>
      <c r="M101" s="1885"/>
      <c r="N101" s="1885"/>
      <c r="O101" s="1885"/>
      <c r="P101" s="1885"/>
      <c r="Q101" s="1885"/>
      <c r="R101" s="1885"/>
      <c r="S101" s="1885"/>
      <c r="T101" s="1885"/>
      <c r="U101" s="220"/>
      <c r="V101" s="220"/>
      <c r="W101" s="220"/>
      <c r="X101" s="220"/>
    </row>
    <row r="102" spans="1:27">
      <c r="A102" s="17" t="s">
        <v>114</v>
      </c>
      <c r="B102" s="422" t="s">
        <v>115</v>
      </c>
      <c r="C102" s="17" t="s">
        <v>47</v>
      </c>
      <c r="D102" s="18">
        <f t="shared" ref="D102:D127" si="34">E102+H102+K102+N102+P102+R102+U102+W102</f>
        <v>0</v>
      </c>
      <c r="E102" s="18">
        <f t="shared" ref="E102:E127" si="35">F102+G102</f>
        <v>0</v>
      </c>
      <c r="F102" s="21"/>
      <c r="G102" s="21"/>
      <c r="H102" s="18">
        <f t="shared" ref="H102:H138" si="36">I102+J102</f>
        <v>0</v>
      </c>
      <c r="I102" s="21"/>
      <c r="J102" s="21"/>
      <c r="K102" s="18">
        <f t="shared" ref="K102:K138" si="37">L102+M102</f>
        <v>0</v>
      </c>
      <c r="L102" s="21"/>
      <c r="M102" s="21"/>
      <c r="N102" s="18">
        <f t="shared" ref="N102:N138" si="38">O102</f>
        <v>0</v>
      </c>
      <c r="O102" s="21"/>
      <c r="P102" s="18">
        <f t="shared" ref="P102:P138" si="39">Q102</f>
        <v>0</v>
      </c>
      <c r="Q102" s="17"/>
      <c r="R102" s="18">
        <f t="shared" ref="R102:R138" si="40">S102+T102</f>
        <v>0</v>
      </c>
      <c r="S102" s="18"/>
      <c r="T102" s="17"/>
      <c r="U102" s="18">
        <f t="shared" ref="U102:U138" si="41">V102</f>
        <v>0</v>
      </c>
      <c r="V102" s="18"/>
      <c r="W102" s="18">
        <f t="shared" ref="W102:W138" si="42">X102</f>
        <v>0</v>
      </c>
      <c r="X102" s="18"/>
    </row>
    <row r="103" spans="1:27">
      <c r="A103" s="17"/>
      <c r="B103" s="422" t="s">
        <v>116</v>
      </c>
      <c r="C103" s="17" t="s">
        <v>21</v>
      </c>
      <c r="D103" s="18">
        <f t="shared" si="34"/>
        <v>0</v>
      </c>
      <c r="E103" s="18">
        <f t="shared" si="35"/>
        <v>0</v>
      </c>
      <c r="F103" s="21"/>
      <c r="G103" s="21"/>
      <c r="H103" s="18">
        <f t="shared" si="36"/>
        <v>0</v>
      </c>
      <c r="I103" s="21"/>
      <c r="J103" s="21"/>
      <c r="K103" s="18">
        <f t="shared" si="37"/>
        <v>0</v>
      </c>
      <c r="L103" s="21"/>
      <c r="M103" s="21"/>
      <c r="N103" s="18">
        <f t="shared" si="38"/>
        <v>0</v>
      </c>
      <c r="O103" s="21"/>
      <c r="P103" s="18">
        <f t="shared" si="39"/>
        <v>0</v>
      </c>
      <c r="Q103" s="17"/>
      <c r="R103" s="18">
        <f t="shared" si="40"/>
        <v>0</v>
      </c>
      <c r="S103" s="18"/>
      <c r="T103" s="17"/>
      <c r="U103" s="18">
        <f t="shared" si="41"/>
        <v>0</v>
      </c>
      <c r="V103" s="18"/>
      <c r="W103" s="18">
        <f t="shared" si="42"/>
        <v>0</v>
      </c>
      <c r="X103" s="18"/>
    </row>
    <row r="104" spans="1:27">
      <c r="A104" s="17" t="s">
        <v>117</v>
      </c>
      <c r="B104" s="422" t="s">
        <v>118</v>
      </c>
      <c r="C104" s="17" t="s">
        <v>47</v>
      </c>
      <c r="D104" s="18">
        <f t="shared" si="34"/>
        <v>0</v>
      </c>
      <c r="E104" s="18">
        <f t="shared" si="35"/>
        <v>0</v>
      </c>
      <c r="F104" s="21"/>
      <c r="G104" s="21"/>
      <c r="H104" s="18">
        <f t="shared" si="36"/>
        <v>0</v>
      </c>
      <c r="I104" s="21"/>
      <c r="J104" s="21"/>
      <c r="K104" s="18">
        <f t="shared" si="37"/>
        <v>0</v>
      </c>
      <c r="L104" s="21"/>
      <c r="M104" s="21"/>
      <c r="N104" s="18">
        <f t="shared" si="38"/>
        <v>0</v>
      </c>
      <c r="O104" s="21"/>
      <c r="P104" s="18">
        <f t="shared" si="39"/>
        <v>0</v>
      </c>
      <c r="Q104" s="17"/>
      <c r="R104" s="18">
        <f t="shared" si="40"/>
        <v>0</v>
      </c>
      <c r="S104" s="18"/>
      <c r="T104" s="17"/>
      <c r="U104" s="18">
        <f t="shared" si="41"/>
        <v>0</v>
      </c>
      <c r="V104" s="18"/>
      <c r="W104" s="18">
        <f t="shared" si="42"/>
        <v>0</v>
      </c>
      <c r="X104" s="18"/>
    </row>
    <row r="105" spans="1:27">
      <c r="A105" s="17"/>
      <c r="B105" s="17"/>
      <c r="C105" s="17" t="s">
        <v>21</v>
      </c>
      <c r="D105" s="18">
        <f t="shared" si="34"/>
        <v>0</v>
      </c>
      <c r="E105" s="18">
        <f t="shared" si="35"/>
        <v>0</v>
      </c>
      <c r="F105" s="21"/>
      <c r="G105" s="21"/>
      <c r="H105" s="18">
        <f t="shared" si="36"/>
        <v>0</v>
      </c>
      <c r="I105" s="21"/>
      <c r="J105" s="21"/>
      <c r="K105" s="18">
        <f t="shared" si="37"/>
        <v>0</v>
      </c>
      <c r="L105" s="21"/>
      <c r="M105" s="21"/>
      <c r="N105" s="18">
        <f t="shared" si="38"/>
        <v>0</v>
      </c>
      <c r="O105" s="21"/>
      <c r="P105" s="18">
        <f t="shared" si="39"/>
        <v>0</v>
      </c>
      <c r="Q105" s="17"/>
      <c r="R105" s="18">
        <f t="shared" si="40"/>
        <v>0</v>
      </c>
      <c r="S105" s="18"/>
      <c r="T105" s="17"/>
      <c r="U105" s="18">
        <f t="shared" si="41"/>
        <v>0</v>
      </c>
      <c r="V105" s="18"/>
      <c r="W105" s="18">
        <f t="shared" si="42"/>
        <v>0</v>
      </c>
      <c r="X105" s="18"/>
    </row>
    <row r="106" spans="1:27">
      <c r="A106" s="17" t="s">
        <v>119</v>
      </c>
      <c r="B106" s="422" t="s">
        <v>120</v>
      </c>
      <c r="C106" s="17" t="s">
        <v>47</v>
      </c>
      <c r="D106" s="18">
        <f t="shared" si="34"/>
        <v>0</v>
      </c>
      <c r="E106" s="18">
        <f t="shared" si="35"/>
        <v>0</v>
      </c>
      <c r="F106" s="21"/>
      <c r="G106" s="21"/>
      <c r="H106" s="18">
        <f t="shared" si="36"/>
        <v>0</v>
      </c>
      <c r="I106" s="21"/>
      <c r="J106" s="21"/>
      <c r="K106" s="18">
        <f t="shared" si="37"/>
        <v>0</v>
      </c>
      <c r="L106" s="21"/>
      <c r="M106" s="21"/>
      <c r="N106" s="18">
        <f t="shared" si="38"/>
        <v>0</v>
      </c>
      <c r="O106" s="21"/>
      <c r="P106" s="18">
        <f t="shared" si="39"/>
        <v>0</v>
      </c>
      <c r="Q106" s="17"/>
      <c r="R106" s="18">
        <f t="shared" si="40"/>
        <v>0</v>
      </c>
      <c r="S106" s="18"/>
      <c r="T106" s="17"/>
      <c r="U106" s="18">
        <f t="shared" si="41"/>
        <v>0</v>
      </c>
      <c r="V106" s="18"/>
      <c r="W106" s="18">
        <f t="shared" si="42"/>
        <v>0</v>
      </c>
      <c r="X106" s="18"/>
    </row>
    <row r="107" spans="1:27">
      <c r="A107" s="17"/>
      <c r="B107" s="17"/>
      <c r="C107" s="17" t="s">
        <v>21</v>
      </c>
      <c r="D107" s="18">
        <f t="shared" si="34"/>
        <v>0</v>
      </c>
      <c r="E107" s="18">
        <f t="shared" si="35"/>
        <v>0</v>
      </c>
      <c r="F107" s="21"/>
      <c r="G107" s="21"/>
      <c r="H107" s="18">
        <f t="shared" si="36"/>
        <v>0</v>
      </c>
      <c r="I107" s="21"/>
      <c r="J107" s="21"/>
      <c r="K107" s="18">
        <f t="shared" si="37"/>
        <v>0</v>
      </c>
      <c r="L107" s="21"/>
      <c r="M107" s="21"/>
      <c r="N107" s="18">
        <f t="shared" si="38"/>
        <v>0</v>
      </c>
      <c r="O107" s="21"/>
      <c r="P107" s="18">
        <f t="shared" si="39"/>
        <v>0</v>
      </c>
      <c r="Q107" s="17"/>
      <c r="R107" s="18">
        <f t="shared" si="40"/>
        <v>0</v>
      </c>
      <c r="S107" s="18"/>
      <c r="T107" s="17"/>
      <c r="U107" s="18">
        <f t="shared" si="41"/>
        <v>0</v>
      </c>
      <c r="V107" s="18"/>
      <c r="W107" s="18">
        <f t="shared" si="42"/>
        <v>0</v>
      </c>
      <c r="X107" s="18"/>
    </row>
    <row r="108" spans="1:27">
      <c r="A108" s="17" t="s">
        <v>121</v>
      </c>
      <c r="B108" s="422" t="s">
        <v>122</v>
      </c>
      <c r="C108" s="17" t="s">
        <v>24</v>
      </c>
      <c r="D108" s="18">
        <f t="shared" si="34"/>
        <v>0</v>
      </c>
      <c r="E108" s="18">
        <f t="shared" si="35"/>
        <v>0</v>
      </c>
      <c r="F108" s="21"/>
      <c r="G108" s="21"/>
      <c r="H108" s="18">
        <f t="shared" si="36"/>
        <v>0</v>
      </c>
      <c r="I108" s="21"/>
      <c r="J108" s="21"/>
      <c r="K108" s="18">
        <f t="shared" si="37"/>
        <v>0</v>
      </c>
      <c r="L108" s="21"/>
      <c r="M108" s="21"/>
      <c r="N108" s="18">
        <f t="shared" si="38"/>
        <v>0</v>
      </c>
      <c r="O108" s="21"/>
      <c r="P108" s="18">
        <f t="shared" si="39"/>
        <v>0</v>
      </c>
      <c r="Q108" s="17"/>
      <c r="R108" s="18">
        <f t="shared" si="40"/>
        <v>0</v>
      </c>
      <c r="S108" s="18"/>
      <c r="T108" s="17"/>
      <c r="U108" s="18">
        <f t="shared" si="41"/>
        <v>0</v>
      </c>
      <c r="V108" s="18"/>
      <c r="W108" s="18">
        <f t="shared" si="42"/>
        <v>0</v>
      </c>
      <c r="X108" s="18"/>
    </row>
    <row r="109" spans="1:27">
      <c r="A109" s="17"/>
      <c r="B109" s="422" t="s">
        <v>123</v>
      </c>
      <c r="C109" s="17" t="s">
        <v>21</v>
      </c>
      <c r="D109" s="18">
        <f t="shared" si="34"/>
        <v>0</v>
      </c>
      <c r="E109" s="18">
        <f t="shared" si="35"/>
        <v>0</v>
      </c>
      <c r="F109" s="21"/>
      <c r="G109" s="21"/>
      <c r="H109" s="18">
        <f t="shared" si="36"/>
        <v>0</v>
      </c>
      <c r="I109" s="21"/>
      <c r="J109" s="21"/>
      <c r="K109" s="18">
        <f t="shared" si="37"/>
        <v>0</v>
      </c>
      <c r="L109" s="21"/>
      <c r="M109" s="21"/>
      <c r="N109" s="18">
        <f t="shared" si="38"/>
        <v>0</v>
      </c>
      <c r="O109" s="21"/>
      <c r="P109" s="18">
        <f t="shared" si="39"/>
        <v>0</v>
      </c>
      <c r="Q109" s="17"/>
      <c r="R109" s="18">
        <f t="shared" si="40"/>
        <v>0</v>
      </c>
      <c r="S109" s="18"/>
      <c r="T109" s="17"/>
      <c r="U109" s="18">
        <f t="shared" si="41"/>
        <v>0</v>
      </c>
      <c r="V109" s="18"/>
      <c r="W109" s="18">
        <f t="shared" si="42"/>
        <v>0</v>
      </c>
      <c r="X109" s="18"/>
    </row>
    <row r="110" spans="1:27">
      <c r="A110" s="17" t="s">
        <v>124</v>
      </c>
      <c r="B110" s="422" t="s">
        <v>125</v>
      </c>
      <c r="C110" s="17" t="s">
        <v>47</v>
      </c>
      <c r="D110" s="18">
        <f t="shared" si="34"/>
        <v>0</v>
      </c>
      <c r="E110" s="18">
        <f t="shared" si="35"/>
        <v>0</v>
      </c>
      <c r="F110" s="21"/>
      <c r="G110" s="21"/>
      <c r="H110" s="18">
        <f t="shared" si="36"/>
        <v>0</v>
      </c>
      <c r="I110" s="21"/>
      <c r="J110" s="21"/>
      <c r="K110" s="18">
        <f t="shared" si="37"/>
        <v>0</v>
      </c>
      <c r="L110" s="21"/>
      <c r="M110" s="21"/>
      <c r="N110" s="18">
        <f t="shared" si="38"/>
        <v>0</v>
      </c>
      <c r="O110" s="21"/>
      <c r="P110" s="18">
        <f t="shared" si="39"/>
        <v>0</v>
      </c>
      <c r="Q110" s="17"/>
      <c r="R110" s="18">
        <f t="shared" si="40"/>
        <v>0</v>
      </c>
      <c r="S110" s="18"/>
      <c r="T110" s="17"/>
      <c r="U110" s="18">
        <f t="shared" si="41"/>
        <v>0</v>
      </c>
      <c r="V110" s="18"/>
      <c r="W110" s="18">
        <f t="shared" si="42"/>
        <v>0</v>
      </c>
      <c r="X110" s="18"/>
    </row>
    <row r="111" spans="1:27" s="6" customFormat="1">
      <c r="A111" s="17"/>
      <c r="B111" s="422"/>
      <c r="C111" s="17" t="s">
        <v>21</v>
      </c>
      <c r="D111" s="18">
        <f t="shared" si="34"/>
        <v>0</v>
      </c>
      <c r="E111" s="18">
        <f t="shared" si="35"/>
        <v>0</v>
      </c>
      <c r="F111" s="21"/>
      <c r="G111" s="21"/>
      <c r="H111" s="18">
        <f t="shared" si="36"/>
        <v>0</v>
      </c>
      <c r="I111" s="21"/>
      <c r="J111" s="21"/>
      <c r="K111" s="18">
        <f t="shared" si="37"/>
        <v>0</v>
      </c>
      <c r="L111" s="21"/>
      <c r="M111" s="21"/>
      <c r="N111" s="18">
        <f t="shared" si="38"/>
        <v>0</v>
      </c>
      <c r="O111" s="21"/>
      <c r="P111" s="18">
        <f t="shared" si="39"/>
        <v>0</v>
      </c>
      <c r="Q111" s="17"/>
      <c r="R111" s="18">
        <f t="shared" si="40"/>
        <v>0</v>
      </c>
      <c r="S111" s="18"/>
      <c r="T111" s="17"/>
      <c r="U111" s="18">
        <f t="shared" si="41"/>
        <v>0</v>
      </c>
      <c r="V111" s="18"/>
      <c r="W111" s="18">
        <f t="shared" si="42"/>
        <v>0</v>
      </c>
      <c r="X111" s="18"/>
    </row>
    <row r="112" spans="1:27" s="6" customFormat="1" ht="15.75">
      <c r="A112" s="17" t="s">
        <v>126</v>
      </c>
      <c r="B112" s="8" t="s">
        <v>127</v>
      </c>
      <c r="C112" s="17" t="s">
        <v>51</v>
      </c>
      <c r="D112" s="18">
        <f t="shared" si="34"/>
        <v>0</v>
      </c>
      <c r="E112" s="18">
        <f t="shared" si="35"/>
        <v>0</v>
      </c>
      <c r="F112" s="21"/>
      <c r="G112" s="21"/>
      <c r="H112" s="18">
        <f t="shared" si="36"/>
        <v>0</v>
      </c>
      <c r="I112" s="21"/>
      <c r="J112" s="21"/>
      <c r="K112" s="18">
        <f t="shared" si="37"/>
        <v>0</v>
      </c>
      <c r="L112" s="21"/>
      <c r="M112" s="21"/>
      <c r="N112" s="18">
        <f t="shared" si="38"/>
        <v>0</v>
      </c>
      <c r="O112" s="21"/>
      <c r="P112" s="18">
        <f t="shared" si="39"/>
        <v>0</v>
      </c>
      <c r="Q112" s="17"/>
      <c r="R112" s="18">
        <f t="shared" si="40"/>
        <v>0</v>
      </c>
      <c r="S112" s="18"/>
      <c r="T112" s="17"/>
      <c r="U112" s="18">
        <f t="shared" si="41"/>
        <v>0</v>
      </c>
      <c r="V112" s="18"/>
      <c r="W112" s="18">
        <f t="shared" si="42"/>
        <v>0</v>
      </c>
      <c r="X112" s="18"/>
    </row>
    <row r="113" spans="1:24" s="6" customFormat="1" ht="15.75">
      <c r="A113" s="17"/>
      <c r="B113" s="8"/>
      <c r="C113" s="17" t="s">
        <v>128</v>
      </c>
      <c r="D113" s="18">
        <f t="shared" si="34"/>
        <v>0</v>
      </c>
      <c r="E113" s="18">
        <f t="shared" si="35"/>
        <v>0</v>
      </c>
      <c r="F113" s="21"/>
      <c r="G113" s="21"/>
      <c r="H113" s="18">
        <f t="shared" si="36"/>
        <v>0</v>
      </c>
      <c r="I113" s="21"/>
      <c r="J113" s="21"/>
      <c r="K113" s="18">
        <f t="shared" si="37"/>
        <v>0</v>
      </c>
      <c r="L113" s="21"/>
      <c r="M113" s="21"/>
      <c r="N113" s="18">
        <f t="shared" si="38"/>
        <v>0</v>
      </c>
      <c r="O113" s="21"/>
      <c r="P113" s="18">
        <f t="shared" si="39"/>
        <v>0</v>
      </c>
      <c r="Q113" s="17"/>
      <c r="R113" s="18">
        <f t="shared" si="40"/>
        <v>0</v>
      </c>
      <c r="S113" s="18"/>
      <c r="T113" s="17"/>
      <c r="U113" s="18">
        <f t="shared" si="41"/>
        <v>0</v>
      </c>
      <c r="V113" s="18"/>
      <c r="W113" s="18">
        <f t="shared" si="42"/>
        <v>0</v>
      </c>
      <c r="X113" s="18"/>
    </row>
    <row r="114" spans="1:24" s="6" customFormat="1" ht="15.75">
      <c r="A114" s="423">
        <v>7</v>
      </c>
      <c r="B114" s="8" t="s">
        <v>129</v>
      </c>
      <c r="C114" s="17" t="s">
        <v>130</v>
      </c>
      <c r="D114" s="18">
        <f t="shared" si="34"/>
        <v>0</v>
      </c>
      <c r="E114" s="18">
        <f t="shared" si="35"/>
        <v>0</v>
      </c>
      <c r="F114" s="21"/>
      <c r="G114" s="21"/>
      <c r="H114" s="18">
        <f t="shared" si="36"/>
        <v>0</v>
      </c>
      <c r="I114" s="21"/>
      <c r="J114" s="21"/>
      <c r="K114" s="18">
        <f t="shared" si="37"/>
        <v>0</v>
      </c>
      <c r="L114" s="21"/>
      <c r="M114" s="21"/>
      <c r="N114" s="18">
        <f t="shared" si="38"/>
        <v>0</v>
      </c>
      <c r="O114" s="21"/>
      <c r="P114" s="18">
        <f t="shared" si="39"/>
        <v>0</v>
      </c>
      <c r="Q114" s="17"/>
      <c r="R114" s="18">
        <f t="shared" si="40"/>
        <v>0</v>
      </c>
      <c r="S114" s="18"/>
      <c r="T114" s="17"/>
      <c r="U114" s="18">
        <f t="shared" si="41"/>
        <v>0</v>
      </c>
      <c r="V114" s="18"/>
      <c r="W114" s="18">
        <f t="shared" si="42"/>
        <v>0</v>
      </c>
      <c r="X114" s="18"/>
    </row>
    <row r="115" spans="1:24" s="6" customFormat="1" ht="15.75">
      <c r="A115" s="17"/>
      <c r="B115" s="19"/>
      <c r="C115" s="17" t="s">
        <v>21</v>
      </c>
      <c r="D115" s="18">
        <f t="shared" si="34"/>
        <v>0</v>
      </c>
      <c r="E115" s="18">
        <f t="shared" si="35"/>
        <v>0</v>
      </c>
      <c r="F115" s="21"/>
      <c r="G115" s="21"/>
      <c r="H115" s="18">
        <f t="shared" si="36"/>
        <v>0</v>
      </c>
      <c r="I115" s="21"/>
      <c r="J115" s="21"/>
      <c r="K115" s="18">
        <f t="shared" si="37"/>
        <v>0</v>
      </c>
      <c r="L115" s="21"/>
      <c r="M115" s="21"/>
      <c r="N115" s="18">
        <f t="shared" si="38"/>
        <v>0</v>
      </c>
      <c r="O115" s="21"/>
      <c r="P115" s="18">
        <f t="shared" si="39"/>
        <v>0</v>
      </c>
      <c r="Q115" s="17"/>
      <c r="R115" s="18">
        <f t="shared" si="40"/>
        <v>0</v>
      </c>
      <c r="S115" s="18"/>
      <c r="T115" s="17"/>
      <c r="U115" s="18">
        <f t="shared" si="41"/>
        <v>0</v>
      </c>
      <c r="V115" s="18"/>
      <c r="W115" s="18">
        <f t="shared" si="42"/>
        <v>0</v>
      </c>
      <c r="X115" s="18"/>
    </row>
    <row r="116" spans="1:24" s="10" customFormat="1" ht="15.75">
      <c r="A116" s="423">
        <v>8</v>
      </c>
      <c r="B116" s="8" t="s">
        <v>131</v>
      </c>
      <c r="C116" s="17" t="s">
        <v>47</v>
      </c>
      <c r="D116" s="18">
        <f t="shared" si="34"/>
        <v>0</v>
      </c>
      <c r="E116" s="18">
        <f t="shared" si="35"/>
        <v>0</v>
      </c>
      <c r="F116" s="21"/>
      <c r="G116" s="21"/>
      <c r="H116" s="18">
        <f t="shared" si="36"/>
        <v>0</v>
      </c>
      <c r="I116" s="21"/>
      <c r="J116" s="21"/>
      <c r="K116" s="18">
        <f t="shared" si="37"/>
        <v>0</v>
      </c>
      <c r="L116" s="21"/>
      <c r="M116" s="21"/>
      <c r="N116" s="18">
        <f t="shared" si="38"/>
        <v>0</v>
      </c>
      <c r="O116" s="21"/>
      <c r="P116" s="18">
        <f t="shared" si="39"/>
        <v>0</v>
      </c>
      <c r="Q116" s="17"/>
      <c r="R116" s="18">
        <f t="shared" si="40"/>
        <v>0</v>
      </c>
      <c r="S116" s="18"/>
      <c r="T116" s="17"/>
      <c r="U116" s="18">
        <f t="shared" si="41"/>
        <v>0</v>
      </c>
      <c r="V116" s="18"/>
      <c r="W116" s="18">
        <f t="shared" si="42"/>
        <v>0</v>
      </c>
      <c r="X116" s="18"/>
    </row>
    <row r="117" spans="1:24" s="10" customFormat="1" ht="15.75">
      <c r="A117" s="422"/>
      <c r="B117" s="8" t="s">
        <v>132</v>
      </c>
      <c r="C117" s="17" t="s">
        <v>21</v>
      </c>
      <c r="D117" s="18">
        <f t="shared" si="34"/>
        <v>0</v>
      </c>
      <c r="E117" s="18">
        <f t="shared" si="35"/>
        <v>0</v>
      </c>
      <c r="F117" s="21"/>
      <c r="G117" s="21"/>
      <c r="H117" s="18">
        <f t="shared" si="36"/>
        <v>0</v>
      </c>
      <c r="I117" s="21"/>
      <c r="J117" s="21"/>
      <c r="K117" s="18">
        <f t="shared" si="37"/>
        <v>0</v>
      </c>
      <c r="L117" s="21"/>
      <c r="M117" s="21"/>
      <c r="N117" s="18">
        <f t="shared" si="38"/>
        <v>0</v>
      </c>
      <c r="O117" s="21"/>
      <c r="P117" s="18">
        <f t="shared" si="39"/>
        <v>0</v>
      </c>
      <c r="Q117" s="17"/>
      <c r="R117" s="18">
        <f t="shared" si="40"/>
        <v>0</v>
      </c>
      <c r="S117" s="18"/>
      <c r="T117" s="17"/>
      <c r="U117" s="18">
        <f t="shared" si="41"/>
        <v>0</v>
      </c>
      <c r="V117" s="18"/>
      <c r="W117" s="18">
        <f t="shared" si="42"/>
        <v>0</v>
      </c>
      <c r="X117" s="18"/>
    </row>
    <row r="118" spans="1:24" s="6" customFormat="1" ht="15.75">
      <c r="A118" s="423">
        <v>9</v>
      </c>
      <c r="B118" s="8" t="s">
        <v>133</v>
      </c>
      <c r="C118" s="17" t="s">
        <v>134</v>
      </c>
      <c r="D118" s="18">
        <f t="shared" si="34"/>
        <v>0</v>
      </c>
      <c r="E118" s="18">
        <f t="shared" si="35"/>
        <v>0</v>
      </c>
      <c r="F118" s="21"/>
      <c r="G118" s="21"/>
      <c r="H118" s="18">
        <f t="shared" si="36"/>
        <v>0</v>
      </c>
      <c r="I118" s="21"/>
      <c r="J118" s="21"/>
      <c r="K118" s="18">
        <f t="shared" si="37"/>
        <v>0</v>
      </c>
      <c r="L118" s="21"/>
      <c r="M118" s="21"/>
      <c r="N118" s="18">
        <f t="shared" si="38"/>
        <v>0</v>
      </c>
      <c r="O118" s="21"/>
      <c r="P118" s="18">
        <f t="shared" si="39"/>
        <v>0</v>
      </c>
      <c r="Q118" s="17"/>
      <c r="R118" s="18">
        <f t="shared" si="40"/>
        <v>0</v>
      </c>
      <c r="S118" s="18"/>
      <c r="T118" s="17"/>
      <c r="U118" s="18">
        <f t="shared" si="41"/>
        <v>0</v>
      </c>
      <c r="V118" s="18"/>
      <c r="W118" s="18">
        <f t="shared" si="42"/>
        <v>0</v>
      </c>
      <c r="X118" s="18"/>
    </row>
    <row r="119" spans="1:24" s="6" customFormat="1" ht="15.75">
      <c r="A119" s="17"/>
      <c r="B119" s="8" t="s">
        <v>135</v>
      </c>
      <c r="C119" s="17" t="s">
        <v>21</v>
      </c>
      <c r="D119" s="18">
        <f t="shared" si="34"/>
        <v>0</v>
      </c>
      <c r="E119" s="18">
        <f t="shared" si="35"/>
        <v>0</v>
      </c>
      <c r="F119" s="21"/>
      <c r="G119" s="21"/>
      <c r="H119" s="18">
        <f t="shared" si="36"/>
        <v>0</v>
      </c>
      <c r="I119" s="21"/>
      <c r="J119" s="21"/>
      <c r="K119" s="18">
        <f t="shared" si="37"/>
        <v>0</v>
      </c>
      <c r="L119" s="21"/>
      <c r="M119" s="21"/>
      <c r="N119" s="18">
        <f t="shared" si="38"/>
        <v>0</v>
      </c>
      <c r="O119" s="21"/>
      <c r="P119" s="18">
        <f t="shared" si="39"/>
        <v>0</v>
      </c>
      <c r="Q119" s="17"/>
      <c r="R119" s="18">
        <f t="shared" si="40"/>
        <v>0</v>
      </c>
      <c r="S119" s="18"/>
      <c r="T119" s="17"/>
      <c r="U119" s="18">
        <f t="shared" si="41"/>
        <v>0</v>
      </c>
      <c r="V119" s="18"/>
      <c r="W119" s="18">
        <f t="shared" si="42"/>
        <v>0</v>
      </c>
      <c r="X119" s="18"/>
    </row>
    <row r="120" spans="1:24" s="6" customFormat="1" ht="15.75">
      <c r="A120" s="17" t="s">
        <v>136</v>
      </c>
      <c r="B120" s="8" t="s">
        <v>137</v>
      </c>
      <c r="C120" s="17" t="s">
        <v>21</v>
      </c>
      <c r="D120" s="18">
        <f t="shared" si="34"/>
        <v>0</v>
      </c>
      <c r="E120" s="18">
        <f t="shared" si="35"/>
        <v>0</v>
      </c>
      <c r="F120" s="21"/>
      <c r="G120" s="21"/>
      <c r="H120" s="18">
        <f t="shared" si="36"/>
        <v>0</v>
      </c>
      <c r="I120" s="21">
        <v>0</v>
      </c>
      <c r="J120" s="21"/>
      <c r="K120" s="18">
        <f t="shared" si="37"/>
        <v>0</v>
      </c>
      <c r="L120" s="21"/>
      <c r="M120" s="21"/>
      <c r="N120" s="18">
        <f t="shared" si="38"/>
        <v>0</v>
      </c>
      <c r="O120" s="21"/>
      <c r="P120" s="18">
        <f t="shared" si="39"/>
        <v>0</v>
      </c>
      <c r="Q120" s="21"/>
      <c r="R120" s="18">
        <f t="shared" si="40"/>
        <v>0</v>
      </c>
      <c r="S120" s="18"/>
      <c r="T120" s="21"/>
      <c r="U120" s="18">
        <f t="shared" si="41"/>
        <v>0</v>
      </c>
      <c r="V120" s="18"/>
      <c r="W120" s="18">
        <f t="shared" si="42"/>
        <v>0</v>
      </c>
      <c r="X120" s="18"/>
    </row>
    <row r="121" spans="1:24" s="6" customFormat="1" ht="15.75">
      <c r="A121" s="17" t="s">
        <v>138</v>
      </c>
      <c r="B121" s="19" t="s">
        <v>139</v>
      </c>
      <c r="C121" s="17" t="s">
        <v>21</v>
      </c>
      <c r="D121" s="18">
        <f t="shared" si="34"/>
        <v>0</v>
      </c>
      <c r="E121" s="18">
        <f t="shared" si="35"/>
        <v>0</v>
      </c>
      <c r="F121" s="21"/>
      <c r="G121" s="21"/>
      <c r="H121" s="18">
        <f t="shared" si="36"/>
        <v>0</v>
      </c>
      <c r="I121" s="21"/>
      <c r="J121" s="21"/>
      <c r="K121" s="18">
        <f t="shared" si="37"/>
        <v>0</v>
      </c>
      <c r="L121" s="21"/>
      <c r="M121" s="21"/>
      <c r="N121" s="18">
        <f t="shared" si="38"/>
        <v>0</v>
      </c>
      <c r="O121" s="21"/>
      <c r="P121" s="18">
        <f t="shared" si="39"/>
        <v>0</v>
      </c>
      <c r="Q121" s="21"/>
      <c r="R121" s="18">
        <f t="shared" si="40"/>
        <v>0</v>
      </c>
      <c r="S121" s="18"/>
      <c r="T121" s="21"/>
      <c r="U121" s="18">
        <f t="shared" si="41"/>
        <v>0</v>
      </c>
      <c r="V121" s="18"/>
      <c r="W121" s="18">
        <f t="shared" si="42"/>
        <v>0</v>
      </c>
      <c r="X121" s="18"/>
    </row>
    <row r="122" spans="1:24" s="6" customFormat="1" ht="15.75">
      <c r="A122" s="17" t="s">
        <v>140</v>
      </c>
      <c r="B122" s="8" t="s">
        <v>141</v>
      </c>
      <c r="C122" s="17" t="s">
        <v>21</v>
      </c>
      <c r="D122" s="18">
        <f t="shared" si="34"/>
        <v>0</v>
      </c>
      <c r="E122" s="18">
        <f t="shared" si="35"/>
        <v>0</v>
      </c>
      <c r="F122" s="21"/>
      <c r="G122" s="21"/>
      <c r="H122" s="18">
        <f t="shared" si="36"/>
        <v>0</v>
      </c>
      <c r="I122" s="21"/>
      <c r="J122" s="21"/>
      <c r="K122" s="18">
        <f t="shared" si="37"/>
        <v>0</v>
      </c>
      <c r="L122" s="21"/>
      <c r="M122" s="21"/>
      <c r="N122" s="18">
        <f t="shared" si="38"/>
        <v>0</v>
      </c>
      <c r="O122" s="21"/>
      <c r="P122" s="18">
        <f t="shared" si="39"/>
        <v>0</v>
      </c>
      <c r="Q122" s="21"/>
      <c r="R122" s="18">
        <f t="shared" si="40"/>
        <v>0</v>
      </c>
      <c r="S122" s="18"/>
      <c r="T122" s="21"/>
      <c r="U122" s="18">
        <f t="shared" si="41"/>
        <v>0</v>
      </c>
      <c r="V122" s="18"/>
      <c r="W122" s="18">
        <f t="shared" si="42"/>
        <v>0</v>
      </c>
      <c r="X122" s="18"/>
    </row>
    <row r="123" spans="1:24" s="6" customFormat="1" ht="15.75">
      <c r="A123" s="17" t="s">
        <v>142</v>
      </c>
      <c r="B123" s="8" t="s">
        <v>143</v>
      </c>
      <c r="C123" s="17" t="s">
        <v>21</v>
      </c>
      <c r="D123" s="18">
        <f t="shared" si="34"/>
        <v>0</v>
      </c>
      <c r="E123" s="18">
        <f t="shared" si="35"/>
        <v>0</v>
      </c>
      <c r="F123" s="21"/>
      <c r="G123" s="21"/>
      <c r="H123" s="18">
        <f t="shared" si="36"/>
        <v>0</v>
      </c>
      <c r="I123" s="21"/>
      <c r="J123" s="21"/>
      <c r="K123" s="18">
        <f t="shared" si="37"/>
        <v>0</v>
      </c>
      <c r="L123" s="21"/>
      <c r="M123" s="21"/>
      <c r="N123" s="18">
        <f t="shared" si="38"/>
        <v>0</v>
      </c>
      <c r="O123" s="21"/>
      <c r="P123" s="18">
        <f t="shared" si="39"/>
        <v>0</v>
      </c>
      <c r="Q123" s="21"/>
      <c r="R123" s="18">
        <f t="shared" si="40"/>
        <v>0</v>
      </c>
      <c r="S123" s="18"/>
      <c r="T123" s="21"/>
      <c r="U123" s="18">
        <f t="shared" si="41"/>
        <v>0</v>
      </c>
      <c r="V123" s="18"/>
      <c r="W123" s="18">
        <f t="shared" si="42"/>
        <v>0</v>
      </c>
      <c r="X123" s="18"/>
    </row>
    <row r="124" spans="1:24" s="6" customFormat="1" ht="15.75">
      <c r="A124" s="423">
        <v>13</v>
      </c>
      <c r="B124" s="8" t="s">
        <v>144</v>
      </c>
      <c r="C124" s="17" t="s">
        <v>21</v>
      </c>
      <c r="D124" s="18">
        <f t="shared" si="34"/>
        <v>0</v>
      </c>
      <c r="E124" s="18">
        <f t="shared" si="35"/>
        <v>0</v>
      </c>
      <c r="F124" s="21"/>
      <c r="G124" s="21"/>
      <c r="H124" s="18">
        <f t="shared" si="36"/>
        <v>0</v>
      </c>
      <c r="I124" s="21"/>
      <c r="J124" s="21"/>
      <c r="K124" s="18">
        <f t="shared" si="37"/>
        <v>0</v>
      </c>
      <c r="L124" s="21"/>
      <c r="M124" s="21"/>
      <c r="N124" s="18">
        <f t="shared" si="38"/>
        <v>0</v>
      </c>
      <c r="O124" s="21"/>
      <c r="P124" s="18">
        <f t="shared" si="39"/>
        <v>0</v>
      </c>
      <c r="Q124" s="21"/>
      <c r="R124" s="18">
        <f t="shared" si="40"/>
        <v>0</v>
      </c>
      <c r="S124" s="18"/>
      <c r="T124" s="21"/>
      <c r="U124" s="18">
        <f t="shared" si="41"/>
        <v>0</v>
      </c>
      <c r="V124" s="18"/>
      <c r="W124" s="18">
        <f t="shared" si="42"/>
        <v>0</v>
      </c>
      <c r="X124" s="18"/>
    </row>
    <row r="125" spans="1:24" s="6" customFormat="1" ht="15.75">
      <c r="A125" s="423">
        <v>14</v>
      </c>
      <c r="B125" s="424" t="s">
        <v>145</v>
      </c>
      <c r="C125" s="17" t="s">
        <v>21</v>
      </c>
      <c r="D125" s="18">
        <f t="shared" si="34"/>
        <v>0</v>
      </c>
      <c r="E125" s="18">
        <f t="shared" si="35"/>
        <v>0</v>
      </c>
      <c r="F125" s="21"/>
      <c r="G125" s="21"/>
      <c r="H125" s="18">
        <f t="shared" si="36"/>
        <v>0</v>
      </c>
      <c r="I125" s="21">
        <v>0</v>
      </c>
      <c r="J125" s="21"/>
      <c r="K125" s="18">
        <f t="shared" si="37"/>
        <v>0</v>
      </c>
      <c r="L125" s="21"/>
      <c r="M125" s="21"/>
      <c r="N125" s="18">
        <f t="shared" si="38"/>
        <v>0</v>
      </c>
      <c r="O125" s="21"/>
      <c r="P125" s="18">
        <f t="shared" si="39"/>
        <v>0</v>
      </c>
      <c r="Q125" s="21"/>
      <c r="R125" s="18">
        <f t="shared" si="40"/>
        <v>0</v>
      </c>
      <c r="S125" s="18"/>
      <c r="T125" s="21"/>
      <c r="U125" s="18">
        <f t="shared" si="41"/>
        <v>0</v>
      </c>
      <c r="V125" s="18"/>
      <c r="W125" s="18">
        <f t="shared" si="42"/>
        <v>0</v>
      </c>
      <c r="X125" s="18"/>
    </row>
    <row r="126" spans="1:24" s="6" customFormat="1" ht="15.75">
      <c r="A126" s="17" t="s">
        <v>146</v>
      </c>
      <c r="B126" s="8" t="s">
        <v>147</v>
      </c>
      <c r="C126" s="17" t="s">
        <v>21</v>
      </c>
      <c r="D126" s="18">
        <f t="shared" si="34"/>
        <v>0</v>
      </c>
      <c r="E126" s="18">
        <f t="shared" si="35"/>
        <v>0</v>
      </c>
      <c r="F126" s="21"/>
      <c r="G126" s="21"/>
      <c r="H126" s="18">
        <f t="shared" si="36"/>
        <v>0</v>
      </c>
      <c r="I126" s="21">
        <v>0</v>
      </c>
      <c r="J126" s="21"/>
      <c r="K126" s="18">
        <f t="shared" si="37"/>
        <v>0</v>
      </c>
      <c r="L126" s="21"/>
      <c r="M126" s="21"/>
      <c r="N126" s="18">
        <f t="shared" si="38"/>
        <v>0</v>
      </c>
      <c r="O126" s="21"/>
      <c r="P126" s="18">
        <f t="shared" si="39"/>
        <v>0</v>
      </c>
      <c r="Q126" s="21"/>
      <c r="R126" s="18">
        <f t="shared" si="40"/>
        <v>0</v>
      </c>
      <c r="S126" s="18"/>
      <c r="T126" s="21"/>
      <c r="U126" s="18">
        <f t="shared" si="41"/>
        <v>0</v>
      </c>
      <c r="V126" s="18"/>
      <c r="W126" s="18">
        <f t="shared" si="42"/>
        <v>0</v>
      </c>
      <c r="X126" s="18"/>
    </row>
    <row r="127" spans="1:24" ht="15.75">
      <c r="A127" s="423">
        <v>16</v>
      </c>
      <c r="B127" s="8" t="s">
        <v>148</v>
      </c>
      <c r="C127" s="17" t="s">
        <v>21</v>
      </c>
      <c r="D127" s="18">
        <f t="shared" si="34"/>
        <v>0</v>
      </c>
      <c r="E127" s="18">
        <f t="shared" si="35"/>
        <v>0</v>
      </c>
      <c r="F127" s="21"/>
      <c r="G127" s="21"/>
      <c r="H127" s="18">
        <f t="shared" si="36"/>
        <v>0</v>
      </c>
      <c r="I127" s="21">
        <v>0</v>
      </c>
      <c r="J127" s="21"/>
      <c r="K127" s="18">
        <f t="shared" si="37"/>
        <v>0</v>
      </c>
      <c r="L127" s="21"/>
      <c r="M127" s="21"/>
      <c r="N127" s="18">
        <f t="shared" si="38"/>
        <v>0</v>
      </c>
      <c r="O127" s="18"/>
      <c r="P127" s="18">
        <f t="shared" si="39"/>
        <v>0</v>
      </c>
      <c r="Q127" s="18"/>
      <c r="R127" s="18">
        <f t="shared" si="40"/>
        <v>0</v>
      </c>
      <c r="S127" s="18"/>
      <c r="T127" s="18"/>
      <c r="U127" s="18">
        <f t="shared" si="41"/>
        <v>0</v>
      </c>
      <c r="V127" s="18"/>
      <c r="W127" s="18">
        <f t="shared" si="42"/>
        <v>0</v>
      </c>
      <c r="X127" s="18"/>
    </row>
    <row r="128" spans="1:24" ht="15.75">
      <c r="A128" s="17" t="s">
        <v>149</v>
      </c>
      <c r="B128" s="19" t="s">
        <v>150</v>
      </c>
      <c r="C128" s="17" t="s">
        <v>128</v>
      </c>
      <c r="D128" s="18">
        <f>D130+D132+D134+D136</f>
        <v>0</v>
      </c>
      <c r="E128" s="18">
        <f>E130+E132+E134+E136</f>
        <v>0</v>
      </c>
      <c r="F128" s="18">
        <f>F130+F132+F134+F136</f>
        <v>0</v>
      </c>
      <c r="G128" s="18">
        <f>G130+G132+G134+G136</f>
        <v>0</v>
      </c>
      <c r="H128" s="18">
        <f t="shared" si="36"/>
        <v>0</v>
      </c>
      <c r="I128" s="18">
        <f>I130+I132+I134+I136</f>
        <v>0</v>
      </c>
      <c r="J128" s="18">
        <f>J130+J132+J134+J136</f>
        <v>0</v>
      </c>
      <c r="K128" s="18">
        <f t="shared" si="37"/>
        <v>0</v>
      </c>
      <c r="L128" s="18">
        <f>L130+L132+L134+L136</f>
        <v>0</v>
      </c>
      <c r="M128" s="18">
        <f>M130+M132+M134+M136</f>
        <v>0</v>
      </c>
      <c r="N128" s="18">
        <f t="shared" si="38"/>
        <v>0</v>
      </c>
      <c r="O128" s="18">
        <f>O130+O132+O134+O136</f>
        <v>0</v>
      </c>
      <c r="P128" s="18">
        <f t="shared" si="39"/>
        <v>0</v>
      </c>
      <c r="Q128" s="18">
        <f>Q130+Q132+Q134+Q136</f>
        <v>0</v>
      </c>
      <c r="R128" s="18">
        <f t="shared" si="40"/>
        <v>0</v>
      </c>
      <c r="S128" s="18">
        <f>S130+S132+S134+S136</f>
        <v>0</v>
      </c>
      <c r="T128" s="18">
        <f>T130+T132+T134+T136</f>
        <v>0</v>
      </c>
      <c r="U128" s="18">
        <f t="shared" si="41"/>
        <v>0</v>
      </c>
      <c r="V128" s="18">
        <f>V130+V132+V134+V136</f>
        <v>0</v>
      </c>
      <c r="W128" s="18">
        <f t="shared" si="42"/>
        <v>0</v>
      </c>
      <c r="X128" s="18">
        <f>X130+X132+X134+X136</f>
        <v>0</v>
      </c>
    </row>
    <row r="129" spans="1:256" ht="15.75">
      <c r="A129" s="17" t="s">
        <v>151</v>
      </c>
      <c r="B129" s="19" t="s">
        <v>152</v>
      </c>
      <c r="C129" s="17" t="s">
        <v>47</v>
      </c>
      <c r="D129" s="18">
        <f t="shared" ref="D129:D138" si="43">E129+H129+K129+N129+P129+R129+U129+W129</f>
        <v>0</v>
      </c>
      <c r="E129" s="18">
        <f t="shared" ref="E129:E138" si="44">F129+G129</f>
        <v>0</v>
      </c>
      <c r="F129" s="21"/>
      <c r="G129" s="21"/>
      <c r="H129" s="18">
        <f t="shared" si="36"/>
        <v>0</v>
      </c>
      <c r="I129" s="21"/>
      <c r="J129" s="21"/>
      <c r="K129" s="18">
        <f t="shared" si="37"/>
        <v>0</v>
      </c>
      <c r="L129" s="21"/>
      <c r="M129" s="21"/>
      <c r="N129" s="18">
        <f t="shared" si="38"/>
        <v>0</v>
      </c>
      <c r="O129" s="21"/>
      <c r="P129" s="18">
        <f t="shared" si="39"/>
        <v>0</v>
      </c>
      <c r="Q129" s="21"/>
      <c r="R129" s="18">
        <f t="shared" si="40"/>
        <v>0</v>
      </c>
      <c r="S129" s="18"/>
      <c r="T129" s="21"/>
      <c r="U129" s="18">
        <f t="shared" si="41"/>
        <v>0</v>
      </c>
      <c r="V129" s="18"/>
      <c r="W129" s="18">
        <f t="shared" si="42"/>
        <v>0</v>
      </c>
      <c r="X129" s="18"/>
    </row>
    <row r="130" spans="1:256" ht="15.75">
      <c r="A130" s="17"/>
      <c r="B130" s="19"/>
      <c r="C130" s="17" t="s">
        <v>21</v>
      </c>
      <c r="D130" s="18">
        <f t="shared" si="43"/>
        <v>0</v>
      </c>
      <c r="E130" s="18">
        <f t="shared" si="44"/>
        <v>0</v>
      </c>
      <c r="F130" s="21"/>
      <c r="G130" s="21"/>
      <c r="H130" s="18">
        <f t="shared" si="36"/>
        <v>0</v>
      </c>
      <c r="I130" s="21"/>
      <c r="J130" s="21"/>
      <c r="K130" s="18">
        <f t="shared" si="37"/>
        <v>0</v>
      </c>
      <c r="L130" s="21"/>
      <c r="M130" s="21"/>
      <c r="N130" s="18">
        <f t="shared" si="38"/>
        <v>0</v>
      </c>
      <c r="O130" s="21"/>
      <c r="P130" s="18">
        <f t="shared" si="39"/>
        <v>0</v>
      </c>
      <c r="Q130" s="21"/>
      <c r="R130" s="18">
        <f t="shared" si="40"/>
        <v>0</v>
      </c>
      <c r="S130" s="18"/>
      <c r="T130" s="21"/>
      <c r="U130" s="18">
        <f t="shared" si="41"/>
        <v>0</v>
      </c>
      <c r="V130" s="18"/>
      <c r="W130" s="18">
        <f t="shared" si="42"/>
        <v>0</v>
      </c>
      <c r="X130" s="18"/>
    </row>
    <row r="131" spans="1:256" ht="15.75">
      <c r="A131" s="17" t="s">
        <v>153</v>
      </c>
      <c r="B131" s="19" t="s">
        <v>154</v>
      </c>
      <c r="C131" s="17" t="s">
        <v>47</v>
      </c>
      <c r="D131" s="18">
        <f t="shared" si="43"/>
        <v>0</v>
      </c>
      <c r="E131" s="18">
        <f t="shared" si="44"/>
        <v>0</v>
      </c>
      <c r="F131" s="21"/>
      <c r="G131" s="21"/>
      <c r="H131" s="18">
        <f t="shared" si="36"/>
        <v>0</v>
      </c>
      <c r="I131" s="21"/>
      <c r="J131" s="21"/>
      <c r="K131" s="18">
        <f t="shared" si="37"/>
        <v>0</v>
      </c>
      <c r="L131" s="21"/>
      <c r="M131" s="21"/>
      <c r="N131" s="18">
        <f t="shared" si="38"/>
        <v>0</v>
      </c>
      <c r="O131" s="21"/>
      <c r="P131" s="18">
        <f t="shared" si="39"/>
        <v>0</v>
      </c>
      <c r="Q131" s="21"/>
      <c r="R131" s="18">
        <f t="shared" si="40"/>
        <v>0</v>
      </c>
      <c r="S131" s="18"/>
      <c r="T131" s="21"/>
      <c r="U131" s="18">
        <f t="shared" si="41"/>
        <v>0</v>
      </c>
      <c r="V131" s="18"/>
      <c r="W131" s="18">
        <f t="shared" si="42"/>
        <v>0</v>
      </c>
      <c r="X131" s="18"/>
    </row>
    <row r="132" spans="1:256" ht="15.75">
      <c r="A132" s="17"/>
      <c r="B132" s="19"/>
      <c r="C132" s="17" t="s">
        <v>155</v>
      </c>
      <c r="D132" s="18">
        <f t="shared" si="43"/>
        <v>0</v>
      </c>
      <c r="E132" s="18">
        <f t="shared" si="44"/>
        <v>0</v>
      </c>
      <c r="F132" s="21"/>
      <c r="G132" s="21"/>
      <c r="H132" s="18">
        <f t="shared" si="36"/>
        <v>0</v>
      </c>
      <c r="I132" s="21"/>
      <c r="J132" s="21"/>
      <c r="K132" s="18">
        <f t="shared" si="37"/>
        <v>0</v>
      </c>
      <c r="L132" s="21"/>
      <c r="M132" s="21"/>
      <c r="N132" s="18">
        <f t="shared" si="38"/>
        <v>0</v>
      </c>
      <c r="O132" s="21"/>
      <c r="P132" s="18">
        <f t="shared" si="39"/>
        <v>0</v>
      </c>
      <c r="Q132" s="21"/>
      <c r="R132" s="18">
        <f t="shared" si="40"/>
        <v>0</v>
      </c>
      <c r="S132" s="18"/>
      <c r="T132" s="21"/>
      <c r="U132" s="18">
        <f t="shared" si="41"/>
        <v>0</v>
      </c>
      <c r="V132" s="18"/>
      <c r="W132" s="18">
        <f t="shared" si="42"/>
        <v>0</v>
      </c>
      <c r="X132" s="18"/>
    </row>
    <row r="133" spans="1:256" ht="15.75">
      <c r="A133" s="17" t="s">
        <v>156</v>
      </c>
      <c r="B133" s="19" t="s">
        <v>157</v>
      </c>
      <c r="C133" s="17" t="s">
        <v>47</v>
      </c>
      <c r="D133" s="18">
        <f t="shared" si="43"/>
        <v>0</v>
      </c>
      <c r="E133" s="18">
        <f t="shared" si="44"/>
        <v>0</v>
      </c>
      <c r="F133" s="21"/>
      <c r="G133" s="21"/>
      <c r="H133" s="18">
        <f t="shared" si="36"/>
        <v>0</v>
      </c>
      <c r="I133" s="21"/>
      <c r="J133" s="21"/>
      <c r="K133" s="18">
        <f t="shared" si="37"/>
        <v>0</v>
      </c>
      <c r="L133" s="21"/>
      <c r="M133" s="21"/>
      <c r="N133" s="18">
        <f t="shared" si="38"/>
        <v>0</v>
      </c>
      <c r="O133" s="21"/>
      <c r="P133" s="18">
        <f t="shared" si="39"/>
        <v>0</v>
      </c>
      <c r="Q133" s="21"/>
      <c r="R133" s="18">
        <f t="shared" si="40"/>
        <v>0</v>
      </c>
      <c r="S133" s="18"/>
      <c r="T133" s="21"/>
      <c r="U133" s="18">
        <f t="shared" si="41"/>
        <v>0</v>
      </c>
      <c r="V133" s="18"/>
      <c r="W133" s="18">
        <f t="shared" si="42"/>
        <v>0</v>
      </c>
      <c r="X133" s="18"/>
    </row>
    <row r="134" spans="1:256" ht="15.75">
      <c r="A134" s="17"/>
      <c r="B134" s="19" t="s">
        <v>158</v>
      </c>
      <c r="C134" s="17" t="s">
        <v>21</v>
      </c>
      <c r="D134" s="18">
        <f t="shared" si="43"/>
        <v>0</v>
      </c>
      <c r="E134" s="18">
        <f t="shared" si="44"/>
        <v>0</v>
      </c>
      <c r="F134" s="21"/>
      <c r="G134" s="21"/>
      <c r="H134" s="18">
        <f t="shared" si="36"/>
        <v>0</v>
      </c>
      <c r="I134" s="21"/>
      <c r="J134" s="21"/>
      <c r="K134" s="18">
        <f t="shared" si="37"/>
        <v>0</v>
      </c>
      <c r="L134" s="21"/>
      <c r="M134" s="21"/>
      <c r="N134" s="18">
        <f t="shared" si="38"/>
        <v>0</v>
      </c>
      <c r="O134" s="21"/>
      <c r="P134" s="18">
        <f t="shared" si="39"/>
        <v>0</v>
      </c>
      <c r="Q134" s="21"/>
      <c r="R134" s="18">
        <f t="shared" si="40"/>
        <v>0</v>
      </c>
      <c r="S134" s="18"/>
      <c r="T134" s="21"/>
      <c r="U134" s="18">
        <f t="shared" si="41"/>
        <v>0</v>
      </c>
      <c r="V134" s="18"/>
      <c r="W134" s="18">
        <f t="shared" si="42"/>
        <v>0</v>
      </c>
      <c r="X134" s="18"/>
    </row>
    <row r="135" spans="1:256" ht="15.75">
      <c r="A135" s="17" t="s">
        <v>159</v>
      </c>
      <c r="B135" s="19" t="s">
        <v>160</v>
      </c>
      <c r="C135" s="17" t="s">
        <v>47</v>
      </c>
      <c r="D135" s="18">
        <f t="shared" si="43"/>
        <v>0</v>
      </c>
      <c r="E135" s="18">
        <f t="shared" si="44"/>
        <v>0</v>
      </c>
      <c r="F135" s="21"/>
      <c r="G135" s="21"/>
      <c r="H135" s="18">
        <f t="shared" si="36"/>
        <v>0</v>
      </c>
      <c r="I135" s="21"/>
      <c r="J135" s="21"/>
      <c r="K135" s="18">
        <f t="shared" si="37"/>
        <v>0</v>
      </c>
      <c r="L135" s="21"/>
      <c r="M135" s="21"/>
      <c r="N135" s="18">
        <f t="shared" si="38"/>
        <v>0</v>
      </c>
      <c r="O135" s="21"/>
      <c r="P135" s="18">
        <f t="shared" si="39"/>
        <v>0</v>
      </c>
      <c r="Q135" s="21"/>
      <c r="R135" s="18">
        <f t="shared" si="40"/>
        <v>0</v>
      </c>
      <c r="S135" s="18"/>
      <c r="T135" s="21"/>
      <c r="U135" s="18">
        <f t="shared" si="41"/>
        <v>0</v>
      </c>
      <c r="V135" s="18"/>
      <c r="W135" s="18">
        <f t="shared" si="42"/>
        <v>0</v>
      </c>
      <c r="X135" s="18"/>
    </row>
    <row r="136" spans="1:256" ht="15.75">
      <c r="A136" s="17"/>
      <c r="B136" s="19"/>
      <c r="C136" s="17" t="s">
        <v>21</v>
      </c>
      <c r="D136" s="18">
        <f t="shared" si="43"/>
        <v>0</v>
      </c>
      <c r="E136" s="18">
        <f t="shared" si="44"/>
        <v>0</v>
      </c>
      <c r="F136" s="21"/>
      <c r="G136" s="21"/>
      <c r="H136" s="18">
        <f t="shared" si="36"/>
        <v>0</v>
      </c>
      <c r="I136" s="21"/>
      <c r="J136" s="21"/>
      <c r="K136" s="18">
        <f t="shared" si="37"/>
        <v>0</v>
      </c>
      <c r="L136" s="21"/>
      <c r="M136" s="21"/>
      <c r="N136" s="18">
        <f t="shared" si="38"/>
        <v>0</v>
      </c>
      <c r="O136" s="21"/>
      <c r="P136" s="18">
        <f t="shared" si="39"/>
        <v>0</v>
      </c>
      <c r="Q136" s="21"/>
      <c r="R136" s="18">
        <f t="shared" si="40"/>
        <v>0</v>
      </c>
      <c r="S136" s="18"/>
      <c r="T136" s="21"/>
      <c r="U136" s="18">
        <f t="shared" si="41"/>
        <v>0</v>
      </c>
      <c r="V136" s="18"/>
      <c r="W136" s="18">
        <f t="shared" si="42"/>
        <v>0</v>
      </c>
      <c r="X136" s="18"/>
    </row>
    <row r="137" spans="1:256" ht="15.75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18">
        <f t="shared" si="37"/>
        <v>0</v>
      </c>
      <c r="L137" s="21"/>
      <c r="M137" s="21"/>
      <c r="N137" s="18">
        <f t="shared" si="38"/>
        <v>0</v>
      </c>
      <c r="O137" s="17"/>
      <c r="P137" s="18">
        <f t="shared" si="39"/>
        <v>0</v>
      </c>
      <c r="Q137" s="17"/>
      <c r="R137" s="18">
        <f t="shared" si="40"/>
        <v>0</v>
      </c>
      <c r="S137" s="422"/>
      <c r="T137" s="17"/>
      <c r="U137" s="18">
        <f t="shared" si="41"/>
        <v>0</v>
      </c>
      <c r="V137" s="422"/>
      <c r="W137" s="18">
        <f t="shared" si="42"/>
        <v>0</v>
      </c>
      <c r="X137" s="422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18">
        <f t="shared" si="37"/>
        <v>0</v>
      </c>
      <c r="L138" s="21"/>
      <c r="M138" s="21"/>
      <c r="N138" s="18">
        <f t="shared" si="38"/>
        <v>0</v>
      </c>
      <c r="O138" s="17"/>
      <c r="P138" s="18">
        <f t="shared" si="39"/>
        <v>0</v>
      </c>
      <c r="Q138" s="17"/>
      <c r="R138" s="18">
        <f t="shared" si="40"/>
        <v>0</v>
      </c>
      <c r="S138" s="422"/>
      <c r="T138" s="17"/>
      <c r="U138" s="18">
        <f t="shared" si="41"/>
        <v>0</v>
      </c>
      <c r="V138" s="422"/>
      <c r="W138" s="18">
        <f t="shared" si="42"/>
        <v>0</v>
      </c>
      <c r="X138" s="422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6368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f>'2 квартал'!I139+'1 квартал'!I139</f>
        <v>6368</v>
      </c>
      <c r="I139" s="18">
        <f>'2 квартал'!I139+'1 квартал'!I139</f>
        <v>6368</v>
      </c>
      <c r="J139" s="18">
        <f t="shared" ref="J139:X140" si="46">J141+J143+J145+J147+J149+J151+J153+J155</f>
        <v>0</v>
      </c>
      <c r="K139" s="18">
        <f t="shared" si="46"/>
        <v>0</v>
      </c>
      <c r="L139" s="18">
        <f t="shared" si="46"/>
        <v>0</v>
      </c>
      <c r="M139" s="18">
        <f t="shared" si="46"/>
        <v>0</v>
      </c>
      <c r="N139" s="18">
        <f t="shared" si="46"/>
        <v>0</v>
      </c>
      <c r="O139" s="18">
        <f t="shared" si="46"/>
        <v>0</v>
      </c>
      <c r="P139" s="18">
        <f t="shared" si="46"/>
        <v>0</v>
      </c>
      <c r="Q139" s="18">
        <f t="shared" si="46"/>
        <v>0</v>
      </c>
      <c r="R139" s="18">
        <f t="shared" si="46"/>
        <v>0</v>
      </c>
      <c r="S139" s="18">
        <f t="shared" si="46"/>
        <v>0</v>
      </c>
      <c r="T139" s="18">
        <f t="shared" si="46"/>
        <v>0</v>
      </c>
      <c r="U139" s="18">
        <f t="shared" si="46"/>
        <v>0</v>
      </c>
      <c r="V139" s="18">
        <f t="shared" si="46"/>
        <v>0</v>
      </c>
      <c r="W139" s="18">
        <f t="shared" si="46"/>
        <v>0</v>
      </c>
      <c r="X139" s="18">
        <f t="shared" si="46"/>
        <v>0</v>
      </c>
    </row>
    <row r="140" spans="1:256" ht="15.75">
      <c r="A140" s="17"/>
      <c r="B140" s="8" t="s">
        <v>84</v>
      </c>
      <c r="C140" s="17" t="s">
        <v>21</v>
      </c>
      <c r="D140" s="18">
        <f>H140+K140</f>
        <v>72.529509999999988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f>'2 квартал'!I140+'1 квартал'!I140</f>
        <v>72.529509999999988</v>
      </c>
      <c r="I140" s="18">
        <f>'2 квартал'!I140+'1 квартал'!I140</f>
        <v>72.529509999999988</v>
      </c>
      <c r="J140" s="18">
        <f t="shared" si="46"/>
        <v>0</v>
      </c>
      <c r="K140" s="18">
        <f t="shared" si="46"/>
        <v>0</v>
      </c>
      <c r="L140" s="18">
        <f t="shared" si="46"/>
        <v>0</v>
      </c>
      <c r="M140" s="18">
        <f t="shared" si="46"/>
        <v>0</v>
      </c>
      <c r="N140" s="18">
        <f t="shared" si="46"/>
        <v>0</v>
      </c>
      <c r="O140" s="18">
        <f t="shared" si="46"/>
        <v>0</v>
      </c>
      <c r="P140" s="18">
        <f t="shared" si="46"/>
        <v>0</v>
      </c>
      <c r="Q140" s="18">
        <f t="shared" si="46"/>
        <v>0</v>
      </c>
      <c r="R140" s="18">
        <f t="shared" si="46"/>
        <v>0</v>
      </c>
      <c r="S140" s="18">
        <f t="shared" si="46"/>
        <v>0</v>
      </c>
      <c r="T140" s="18">
        <f t="shared" si="46"/>
        <v>0</v>
      </c>
      <c r="U140" s="18">
        <f t="shared" si="46"/>
        <v>0</v>
      </c>
      <c r="V140" s="18">
        <f t="shared" si="46"/>
        <v>0</v>
      </c>
      <c r="W140" s="18">
        <f t="shared" si="46"/>
        <v>0</v>
      </c>
      <c r="X140" s="18">
        <f t="shared" si="46"/>
        <v>0</v>
      </c>
    </row>
    <row r="141" spans="1:256" ht="15.75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18">
        <f>'2 квартал'!I141+'1 квартал'!I141</f>
        <v>0</v>
      </c>
      <c r="I141" s="18">
        <f>'2 квартал'!I141+'1 квартал'!I141</f>
        <v>0</v>
      </c>
      <c r="J141" s="21"/>
      <c r="K141" s="18">
        <f t="shared" ref="K141:K156" si="49">L141+M141</f>
        <v>0</v>
      </c>
      <c r="L141" s="21"/>
      <c r="M141" s="21"/>
      <c r="N141" s="18">
        <f t="shared" ref="N141:N156" si="50">O141</f>
        <v>0</v>
      </c>
      <c r="O141" s="21"/>
      <c r="P141" s="18">
        <f t="shared" ref="P141:P156" si="51">Q141</f>
        <v>0</v>
      </c>
      <c r="Q141" s="18"/>
      <c r="R141" s="18">
        <f t="shared" ref="R141:R156" si="52">S141+T141</f>
        <v>0</v>
      </c>
      <c r="S141" s="18"/>
      <c r="T141" s="18"/>
      <c r="U141" s="18">
        <f t="shared" ref="U141:U156" si="53">V141</f>
        <v>0</v>
      </c>
      <c r="V141" s="18"/>
      <c r="W141" s="18">
        <f t="shared" ref="W141:W156" si="54">X141</f>
        <v>0</v>
      </c>
      <c r="X141" s="18"/>
    </row>
    <row r="142" spans="1:256" ht="15.75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18">
        <f>'2 квартал'!I142+'1 квартал'!I142</f>
        <v>0</v>
      </c>
      <c r="I142" s="18">
        <f>'2 квартал'!I142+'1 квартал'!I142</f>
        <v>0</v>
      </c>
      <c r="J142" s="21"/>
      <c r="K142" s="18">
        <f t="shared" si="49"/>
        <v>0</v>
      </c>
      <c r="L142" s="21"/>
      <c r="M142" s="21"/>
      <c r="N142" s="18">
        <f t="shared" si="50"/>
        <v>0</v>
      </c>
      <c r="O142" s="21"/>
      <c r="P142" s="18">
        <f t="shared" si="51"/>
        <v>0</v>
      </c>
      <c r="Q142" s="18"/>
      <c r="R142" s="18">
        <f t="shared" si="52"/>
        <v>0</v>
      </c>
      <c r="S142" s="18"/>
      <c r="T142" s="18"/>
      <c r="U142" s="18">
        <f t="shared" si="53"/>
        <v>0</v>
      </c>
      <c r="V142" s="18"/>
      <c r="W142" s="18">
        <f t="shared" si="54"/>
        <v>0</v>
      </c>
      <c r="X142" s="18"/>
    </row>
    <row r="143" spans="1:256" s="6" customFormat="1" ht="15.75">
      <c r="A143" s="17" t="s">
        <v>169</v>
      </c>
      <c r="B143" s="19" t="s">
        <v>170</v>
      </c>
      <c r="C143" s="17" t="s">
        <v>47</v>
      </c>
      <c r="D143" s="18">
        <f t="shared" si="47"/>
        <v>6</v>
      </c>
      <c r="E143" s="18">
        <f t="shared" si="48"/>
        <v>0</v>
      </c>
      <c r="F143" s="21"/>
      <c r="G143" s="21"/>
      <c r="H143" s="18">
        <f>'2 квартал'!I143+'1 квартал'!I143</f>
        <v>6</v>
      </c>
      <c r="I143" s="18">
        <f>'2 квартал'!I143+'1 квартал'!I143</f>
        <v>6</v>
      </c>
      <c r="J143" s="21"/>
      <c r="K143" s="18">
        <f t="shared" si="49"/>
        <v>0</v>
      </c>
      <c r="L143" s="21"/>
      <c r="M143" s="21"/>
      <c r="N143" s="18">
        <f t="shared" si="50"/>
        <v>0</v>
      </c>
      <c r="O143" s="21"/>
      <c r="P143" s="18">
        <f t="shared" si="51"/>
        <v>0</v>
      </c>
      <c r="Q143" s="18"/>
      <c r="R143" s="18">
        <f t="shared" si="52"/>
        <v>0</v>
      </c>
      <c r="S143" s="18"/>
      <c r="T143" s="18"/>
      <c r="U143" s="18">
        <f t="shared" si="53"/>
        <v>0</v>
      </c>
      <c r="V143" s="18"/>
      <c r="W143" s="18">
        <f t="shared" si="54"/>
        <v>0</v>
      </c>
      <c r="X143" s="18"/>
    </row>
    <row r="144" spans="1:256" s="6" customFormat="1" ht="15.75">
      <c r="A144" s="17"/>
      <c r="B144" s="19"/>
      <c r="C144" s="17" t="s">
        <v>21</v>
      </c>
      <c r="D144" s="18">
        <f t="shared" si="47"/>
        <v>2.6105399999999999</v>
      </c>
      <c r="E144" s="18">
        <f t="shared" si="48"/>
        <v>0</v>
      </c>
      <c r="F144" s="21"/>
      <c r="G144" s="21"/>
      <c r="H144" s="18">
        <f>'2 квартал'!I144+'1 квартал'!I144</f>
        <v>2.6105399999999999</v>
      </c>
      <c r="I144" s="18">
        <f>'2 квартал'!I144+'1 квартал'!I144</f>
        <v>2.6105399999999999</v>
      </c>
      <c r="J144" s="21"/>
      <c r="K144" s="18">
        <f t="shared" si="49"/>
        <v>0</v>
      </c>
      <c r="L144" s="21"/>
      <c r="M144" s="21"/>
      <c r="N144" s="18">
        <f t="shared" si="50"/>
        <v>0</v>
      </c>
      <c r="O144" s="21"/>
      <c r="P144" s="18">
        <f t="shared" si="51"/>
        <v>0</v>
      </c>
      <c r="Q144" s="18"/>
      <c r="R144" s="18">
        <f t="shared" si="52"/>
        <v>0</v>
      </c>
      <c r="S144" s="18"/>
      <c r="T144" s="18"/>
      <c r="U144" s="18">
        <f t="shared" si="53"/>
        <v>0</v>
      </c>
      <c r="V144" s="18"/>
      <c r="W144" s="18">
        <f t="shared" si="54"/>
        <v>0</v>
      </c>
      <c r="X144" s="18"/>
    </row>
    <row r="145" spans="1:24" s="6" customFormat="1" ht="15.75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18">
        <f>'2 квартал'!I145+'1 квартал'!I145</f>
        <v>0</v>
      </c>
      <c r="I145" s="18">
        <f>'2 квартал'!I145+'1 квартал'!I145</f>
        <v>0</v>
      </c>
      <c r="J145" s="21"/>
      <c r="K145" s="18">
        <f t="shared" si="49"/>
        <v>0</v>
      </c>
      <c r="L145" s="21"/>
      <c r="M145" s="21"/>
      <c r="N145" s="18">
        <f t="shared" si="50"/>
        <v>0</v>
      </c>
      <c r="O145" s="21"/>
      <c r="P145" s="18">
        <f t="shared" si="51"/>
        <v>0</v>
      </c>
      <c r="Q145" s="18"/>
      <c r="R145" s="18">
        <f t="shared" si="52"/>
        <v>0</v>
      </c>
      <c r="S145" s="18"/>
      <c r="T145" s="18"/>
      <c r="U145" s="18">
        <f t="shared" si="53"/>
        <v>0</v>
      </c>
      <c r="V145" s="18"/>
      <c r="W145" s="18">
        <f t="shared" si="54"/>
        <v>0</v>
      </c>
      <c r="X145" s="18"/>
    </row>
    <row r="146" spans="1:24" s="6" customFormat="1" ht="15.75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18">
        <f>'2 квартал'!I146+'1 квартал'!I146</f>
        <v>0</v>
      </c>
      <c r="I146" s="18">
        <f>'2 квартал'!I146+'1 квартал'!I146</f>
        <v>0</v>
      </c>
      <c r="J146" s="21"/>
      <c r="K146" s="18">
        <f t="shared" si="49"/>
        <v>0</v>
      </c>
      <c r="L146" s="21"/>
      <c r="M146" s="21"/>
      <c r="N146" s="18">
        <f t="shared" si="50"/>
        <v>0</v>
      </c>
      <c r="O146" s="21"/>
      <c r="P146" s="18">
        <f t="shared" si="51"/>
        <v>0</v>
      </c>
      <c r="Q146" s="18"/>
      <c r="R146" s="18">
        <f t="shared" si="52"/>
        <v>0</v>
      </c>
      <c r="S146" s="18"/>
      <c r="T146" s="18"/>
      <c r="U146" s="18">
        <f t="shared" si="53"/>
        <v>0</v>
      </c>
      <c r="V146" s="18"/>
      <c r="W146" s="18">
        <f t="shared" si="54"/>
        <v>0</v>
      </c>
      <c r="X146" s="18"/>
    </row>
    <row r="147" spans="1:24" s="6" customFormat="1" ht="15.75">
      <c r="A147" s="17" t="s">
        <v>173</v>
      </c>
      <c r="B147" s="19" t="s">
        <v>174</v>
      </c>
      <c r="C147" s="17" t="s">
        <v>47</v>
      </c>
      <c r="D147" s="18">
        <v>20</v>
      </c>
      <c r="E147" s="18">
        <f t="shared" si="48"/>
        <v>0</v>
      </c>
      <c r="F147" s="21"/>
      <c r="G147" s="21"/>
      <c r="H147" s="18">
        <f>'2 квартал'!I147+'1 квартал'!I147</f>
        <v>4142</v>
      </c>
      <c r="I147" s="18">
        <f>'2 квартал'!I147+'1 квартал'!I147</f>
        <v>4142</v>
      </c>
      <c r="J147" s="21"/>
      <c r="K147" s="18">
        <f t="shared" si="49"/>
        <v>0</v>
      </c>
      <c r="L147" s="21"/>
      <c r="M147" s="21"/>
      <c r="N147" s="18">
        <f t="shared" si="50"/>
        <v>0</v>
      </c>
      <c r="O147" s="21"/>
      <c r="P147" s="18">
        <f t="shared" si="51"/>
        <v>0</v>
      </c>
      <c r="Q147" s="18"/>
      <c r="R147" s="18">
        <f t="shared" si="52"/>
        <v>0</v>
      </c>
      <c r="S147" s="18"/>
      <c r="T147" s="18"/>
      <c r="U147" s="18">
        <f t="shared" si="53"/>
        <v>0</v>
      </c>
      <c r="V147" s="18"/>
      <c r="W147" s="18">
        <f t="shared" si="54"/>
        <v>0</v>
      </c>
      <c r="X147" s="18"/>
    </row>
    <row r="148" spans="1:24" s="6" customFormat="1" ht="15.75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18">
        <f>'2 квартал'!I148+'1 квартал'!I148</f>
        <v>44.854390000000002</v>
      </c>
      <c r="I148" s="18">
        <f>'2 квартал'!I148+'1 квартал'!I148</f>
        <v>44.854390000000002</v>
      </c>
      <c r="J148" s="21"/>
      <c r="K148" s="18">
        <f t="shared" si="49"/>
        <v>0</v>
      </c>
      <c r="L148" s="21"/>
      <c r="M148" s="21"/>
      <c r="N148" s="18">
        <f t="shared" si="50"/>
        <v>0</v>
      </c>
      <c r="O148" s="21"/>
      <c r="P148" s="18">
        <f t="shared" si="51"/>
        <v>0</v>
      </c>
      <c r="Q148" s="18"/>
      <c r="R148" s="18">
        <f t="shared" si="52"/>
        <v>0</v>
      </c>
      <c r="S148" s="18"/>
      <c r="T148" s="18"/>
      <c r="U148" s="18">
        <f t="shared" si="53"/>
        <v>0</v>
      </c>
      <c r="V148" s="18"/>
      <c r="W148" s="18">
        <f t="shared" si="54"/>
        <v>0</v>
      </c>
      <c r="X148" s="18"/>
    </row>
    <row r="149" spans="1:24" s="6" customFormat="1" ht="15.75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2210</v>
      </c>
      <c r="E149" s="18">
        <f t="shared" si="48"/>
        <v>0</v>
      </c>
      <c r="F149" s="21"/>
      <c r="G149" s="21"/>
      <c r="H149" s="18">
        <f>'2 квартал'!I149+'1 квартал'!I149</f>
        <v>2210</v>
      </c>
      <c r="I149" s="18">
        <f>'2 квартал'!I149+'1 квартал'!I149</f>
        <v>2210</v>
      </c>
      <c r="J149" s="21"/>
      <c r="K149" s="18">
        <f t="shared" si="49"/>
        <v>0</v>
      </c>
      <c r="L149" s="21"/>
      <c r="M149" s="21"/>
      <c r="N149" s="18">
        <f t="shared" si="50"/>
        <v>0</v>
      </c>
      <c r="O149" s="21"/>
      <c r="P149" s="18">
        <f t="shared" si="51"/>
        <v>0</v>
      </c>
      <c r="Q149" s="18"/>
      <c r="R149" s="18">
        <f t="shared" si="52"/>
        <v>0</v>
      </c>
      <c r="S149" s="18"/>
      <c r="T149" s="18"/>
      <c r="U149" s="18">
        <f t="shared" si="53"/>
        <v>0</v>
      </c>
      <c r="V149" s="18"/>
      <c r="W149" s="18">
        <f t="shared" si="54"/>
        <v>0</v>
      </c>
      <c r="X149" s="18"/>
    </row>
    <row r="150" spans="1:24" s="6" customFormat="1" ht="15.75">
      <c r="A150" s="17"/>
      <c r="B150" s="19"/>
      <c r="C150" s="17" t="s">
        <v>21</v>
      </c>
      <c r="D150" s="18">
        <f t="shared" si="55"/>
        <v>24.747319999999995</v>
      </c>
      <c r="E150" s="18">
        <f t="shared" si="48"/>
        <v>0</v>
      </c>
      <c r="F150" s="21"/>
      <c r="G150" s="21"/>
      <c r="H150" s="18">
        <f>'2 квартал'!I150+'1 квартал'!I150</f>
        <v>24.747319999999995</v>
      </c>
      <c r="I150" s="18">
        <f>'2 квартал'!I150+'1 квартал'!I150</f>
        <v>24.747319999999995</v>
      </c>
      <c r="J150" s="21"/>
      <c r="K150" s="18">
        <f t="shared" si="49"/>
        <v>0</v>
      </c>
      <c r="L150" s="21"/>
      <c r="M150" s="21"/>
      <c r="N150" s="18">
        <f t="shared" si="50"/>
        <v>0</v>
      </c>
      <c r="O150" s="21"/>
      <c r="P150" s="18">
        <f t="shared" si="51"/>
        <v>0</v>
      </c>
      <c r="Q150" s="18"/>
      <c r="R150" s="18">
        <f t="shared" si="52"/>
        <v>0</v>
      </c>
      <c r="S150" s="18"/>
      <c r="T150" s="18"/>
      <c r="U150" s="18">
        <f t="shared" si="53"/>
        <v>0</v>
      </c>
      <c r="V150" s="18"/>
      <c r="W150" s="18">
        <f t="shared" si="54"/>
        <v>0</v>
      </c>
      <c r="X150" s="18"/>
    </row>
    <row r="151" spans="1:24" s="6" customFormat="1" ht="15.75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18">
        <f>'2 квартал'!I151+'1 квартал'!I151</f>
        <v>0</v>
      </c>
      <c r="I151" s="18">
        <f>'2 квартал'!I151+'1 квартал'!I151</f>
        <v>0</v>
      </c>
      <c r="J151" s="21"/>
      <c r="K151" s="18">
        <f t="shared" si="49"/>
        <v>0</v>
      </c>
      <c r="L151" s="21"/>
      <c r="M151" s="21"/>
      <c r="N151" s="18">
        <f t="shared" si="50"/>
        <v>0</v>
      </c>
      <c r="O151" s="21"/>
      <c r="P151" s="18">
        <f t="shared" si="51"/>
        <v>0</v>
      </c>
      <c r="Q151" s="18"/>
      <c r="R151" s="18">
        <f t="shared" si="52"/>
        <v>0</v>
      </c>
      <c r="S151" s="18"/>
      <c r="T151" s="18"/>
      <c r="U151" s="18">
        <f t="shared" si="53"/>
        <v>0</v>
      </c>
      <c r="V151" s="18"/>
      <c r="W151" s="18">
        <f t="shared" si="54"/>
        <v>0</v>
      </c>
      <c r="X151" s="18"/>
    </row>
    <row r="152" spans="1:24" s="6" customFormat="1" ht="15.75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18">
        <f>'2 квартал'!I152+'1 квартал'!I152</f>
        <v>0</v>
      </c>
      <c r="I152" s="18">
        <f>'2 квартал'!I152+'1 квартал'!I152</f>
        <v>0</v>
      </c>
      <c r="J152" s="21"/>
      <c r="K152" s="18">
        <f t="shared" si="49"/>
        <v>0</v>
      </c>
      <c r="L152" s="21"/>
      <c r="M152" s="21"/>
      <c r="N152" s="18">
        <f t="shared" si="50"/>
        <v>0</v>
      </c>
      <c r="O152" s="21"/>
      <c r="P152" s="18">
        <f t="shared" si="51"/>
        <v>0</v>
      </c>
      <c r="Q152" s="18"/>
      <c r="R152" s="18">
        <f t="shared" si="52"/>
        <v>0</v>
      </c>
      <c r="S152" s="18"/>
      <c r="T152" s="18"/>
      <c r="U152" s="18">
        <f t="shared" si="53"/>
        <v>0</v>
      </c>
      <c r="V152" s="18"/>
      <c r="W152" s="18">
        <f t="shared" si="54"/>
        <v>0</v>
      </c>
      <c r="X152" s="18"/>
    </row>
    <row r="153" spans="1:24" s="6" customFormat="1" ht="15.75">
      <c r="A153" s="17" t="s">
        <v>179</v>
      </c>
      <c r="B153" s="19" t="s">
        <v>180</v>
      </c>
      <c r="C153" s="17" t="s">
        <v>47</v>
      </c>
      <c r="D153" s="18">
        <f t="shared" si="55"/>
        <v>10</v>
      </c>
      <c r="E153" s="18">
        <f t="shared" si="48"/>
        <v>0</v>
      </c>
      <c r="F153" s="21"/>
      <c r="G153" s="21"/>
      <c r="H153" s="18">
        <f>'2 квартал'!I153+'1 квартал'!I153</f>
        <v>10</v>
      </c>
      <c r="I153" s="18">
        <f>'2 квартал'!I153+'1 квартал'!I153</f>
        <v>10</v>
      </c>
      <c r="J153" s="21"/>
      <c r="K153" s="18">
        <f t="shared" si="49"/>
        <v>0</v>
      </c>
      <c r="L153" s="21"/>
      <c r="M153" s="21"/>
      <c r="N153" s="18">
        <f t="shared" si="50"/>
        <v>0</v>
      </c>
      <c r="O153" s="21"/>
      <c r="P153" s="18">
        <f t="shared" si="51"/>
        <v>0</v>
      </c>
      <c r="Q153" s="18"/>
      <c r="R153" s="18">
        <f t="shared" si="52"/>
        <v>0</v>
      </c>
      <c r="S153" s="18"/>
      <c r="T153" s="18"/>
      <c r="U153" s="18">
        <f t="shared" si="53"/>
        <v>0</v>
      </c>
      <c r="V153" s="18"/>
      <c r="W153" s="18">
        <f t="shared" si="54"/>
        <v>0</v>
      </c>
      <c r="X153" s="18"/>
    </row>
    <row r="154" spans="1:24" s="6" customFormat="1" ht="15.75">
      <c r="A154" s="17"/>
      <c r="B154" s="19"/>
      <c r="C154" s="17" t="s">
        <v>21</v>
      </c>
      <c r="D154" s="18">
        <f t="shared" si="55"/>
        <v>0.31725999999999999</v>
      </c>
      <c r="E154" s="18">
        <f t="shared" si="48"/>
        <v>0</v>
      </c>
      <c r="F154" s="21"/>
      <c r="G154" s="21"/>
      <c r="H154" s="18">
        <f>'2 квартал'!I154+'1 квартал'!I154</f>
        <v>0.31725999999999999</v>
      </c>
      <c r="I154" s="18">
        <f>'2 квартал'!I154+'1 квартал'!I154</f>
        <v>0.31725999999999999</v>
      </c>
      <c r="J154" s="21"/>
      <c r="K154" s="18">
        <f t="shared" si="49"/>
        <v>0</v>
      </c>
      <c r="L154" s="21"/>
      <c r="M154" s="21"/>
      <c r="N154" s="18">
        <f t="shared" si="50"/>
        <v>0</v>
      </c>
      <c r="O154" s="21"/>
      <c r="P154" s="18">
        <f t="shared" si="51"/>
        <v>0</v>
      </c>
      <c r="Q154" s="18"/>
      <c r="R154" s="18">
        <f t="shared" si="52"/>
        <v>0</v>
      </c>
      <c r="S154" s="18"/>
      <c r="T154" s="18"/>
      <c r="U154" s="18">
        <f t="shared" si="53"/>
        <v>0</v>
      </c>
      <c r="V154" s="18"/>
      <c r="W154" s="18">
        <f t="shared" si="54"/>
        <v>0</v>
      </c>
      <c r="X154" s="18"/>
    </row>
    <row r="155" spans="1:24" s="6" customFormat="1" ht="15.75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18">
        <f>'2 квартал'!I155+'1 квартал'!I155</f>
        <v>0</v>
      </c>
      <c r="I155" s="18">
        <f>'2 квартал'!I155+'1 квартал'!I155</f>
        <v>0</v>
      </c>
      <c r="J155" s="21"/>
      <c r="K155" s="18">
        <f t="shared" si="49"/>
        <v>0</v>
      </c>
      <c r="L155" s="21"/>
      <c r="M155" s="21"/>
      <c r="N155" s="18">
        <f t="shared" si="50"/>
        <v>0</v>
      </c>
      <c r="O155" s="17"/>
      <c r="P155" s="18">
        <f t="shared" si="51"/>
        <v>0</v>
      </c>
      <c r="Q155" s="18"/>
      <c r="R155" s="18">
        <f t="shared" si="52"/>
        <v>0</v>
      </c>
      <c r="S155" s="18"/>
      <c r="T155" s="18"/>
      <c r="U155" s="18">
        <f t="shared" si="53"/>
        <v>0</v>
      </c>
      <c r="V155" s="18"/>
      <c r="W155" s="18">
        <f t="shared" si="54"/>
        <v>0</v>
      </c>
      <c r="X155" s="18"/>
    </row>
    <row r="156" spans="1:24" s="6" customFormat="1" ht="15.75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18">
        <f>'2 квартал'!I156+'1 квартал'!I156</f>
        <v>0</v>
      </c>
      <c r="I156" s="18">
        <f>'2 квартал'!I156+'1 квартал'!I156</f>
        <v>0</v>
      </c>
      <c r="J156" s="21"/>
      <c r="K156" s="18">
        <f t="shared" si="49"/>
        <v>0</v>
      </c>
      <c r="L156" s="21"/>
      <c r="M156" s="21"/>
      <c r="N156" s="18">
        <f t="shared" si="50"/>
        <v>0</v>
      </c>
      <c r="O156" s="17"/>
      <c r="P156" s="18">
        <f t="shared" si="51"/>
        <v>0</v>
      </c>
      <c r="Q156" s="18"/>
      <c r="R156" s="18">
        <f t="shared" si="52"/>
        <v>0</v>
      </c>
      <c r="S156" s="18"/>
      <c r="T156" s="18"/>
      <c r="U156" s="18">
        <f t="shared" si="53"/>
        <v>0</v>
      </c>
      <c r="V156" s="18"/>
      <c r="W156" s="18">
        <f t="shared" si="54"/>
        <v>0</v>
      </c>
      <c r="X156" s="18"/>
    </row>
    <row r="157" spans="1:24" s="6" customFormat="1" ht="43.5" customHeight="1">
      <c r="A157" s="5" t="s">
        <v>286</v>
      </c>
      <c r="B157" s="5"/>
      <c r="C157" s="5"/>
      <c r="D157" s="5"/>
      <c r="E157" s="5"/>
    </row>
    <row r="158" spans="1:24" s="6" customFormat="1">
      <c r="A158" s="1748" t="s">
        <v>287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 t="s">
        <v>285</v>
      </c>
      <c r="B160" s="5"/>
      <c r="C160" s="5"/>
      <c r="D160" s="5"/>
      <c r="E160" s="5"/>
    </row>
    <row r="163" ht="6" customHeight="1"/>
  </sheetData>
  <mergeCells count="22">
    <mergeCell ref="A14:A16"/>
    <mergeCell ref="A101:T101"/>
    <mergeCell ref="A158:D15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2:IV163"/>
  <sheetViews>
    <sheetView topLeftCell="C1" zoomScale="80" zoomScaleNormal="80" workbookViewId="0">
      <selection activeCell="L16" sqref="L16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188</v>
      </c>
      <c r="U6" s="1755"/>
      <c r="V6" s="1755"/>
      <c r="W6" s="1755"/>
      <c r="X6" s="1755"/>
    </row>
    <row r="7" spans="1:27" ht="53.25" customHeight="1">
      <c r="A7" s="1754" t="s">
        <v>205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4" t="s">
        <v>190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30"/>
      <c r="P8" s="264"/>
      <c r="Q8" s="264"/>
      <c r="R8" s="264"/>
      <c r="S8" s="264"/>
      <c r="T8" s="264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1989.2190000000005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1924.8180000000004</v>
      </c>
      <c r="I13" s="41">
        <f>I16+I23+I34+I36+I39+I41+I43+I45+I47+I49+I51+I53+I55+I57+I59+I61+I63+I65+I67+I69+I71</f>
        <v>1800.6060000000004</v>
      </c>
      <c r="J13" s="41">
        <f>J16+J23+J34+J36+J39+J41+J43+J45+J47+J49+J51+J53+J55+J57+J59+J61+J63+J65+J67+J69+J71</f>
        <v>124.21199999999999</v>
      </c>
      <c r="K13" s="41">
        <f>L13+M13</f>
        <v>64.400999999999996</v>
      </c>
      <c r="L13" s="41">
        <f>L16+L23+L34+L36+L39+L41+L43+L45+L47+L49+L51+L53+L55+L57+L59+L61+L63+L65+L67+L69+L71</f>
        <v>64.400999999999996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16</v>
      </c>
      <c r="E14" s="46"/>
      <c r="F14" s="46"/>
      <c r="G14" s="47"/>
      <c r="H14" s="48">
        <f t="shared" ref="H14:H77" si="1">I14+J14</f>
        <v>14</v>
      </c>
      <c r="I14" s="16">
        <f>март!I14+февраль!I14+январь!I14</f>
        <v>14</v>
      </c>
      <c r="J14" s="16">
        <f>март!J14+февраль!J14+январь!J14</f>
        <v>0</v>
      </c>
      <c r="K14" s="49">
        <f t="shared" ref="K14:K77" si="2">L14+M14</f>
        <v>2</v>
      </c>
      <c r="L14" s="16">
        <f>март!L14+февраль!L14+январь!L14</f>
        <v>2</v>
      </c>
      <c r="M14" s="16">
        <f>март!M14+февраль!M14+январь!M14</f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0.14269999999999999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0.12520000000000001</v>
      </c>
      <c r="I15" s="16">
        <f>март!I15+февраль!I15+январь!I15</f>
        <v>0.12520000000000001</v>
      </c>
      <c r="J15" s="16">
        <f>март!J15+февраль!J15+январь!J15</f>
        <v>0</v>
      </c>
      <c r="K15" s="49">
        <f t="shared" si="2"/>
        <v>1.7500000000000002E-2</v>
      </c>
      <c r="L15" s="16">
        <f>март!L15+февраль!L15+январь!L15</f>
        <v>1.7500000000000002E-2</v>
      </c>
      <c r="M15" s="16">
        <f>март!M15+февраль!M15+январь!M15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144.66200000000001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137.59200000000001</v>
      </c>
      <c r="I16" s="16">
        <f>март!I16+февраль!I16+январь!I16</f>
        <v>137.59200000000001</v>
      </c>
      <c r="J16" s="16">
        <f>март!J16+февраль!J16+январь!J16</f>
        <v>0</v>
      </c>
      <c r="K16" s="49">
        <f t="shared" si="2"/>
        <v>7.0699999999999994</v>
      </c>
      <c r="L16" s="16">
        <f>март!L16+февраль!L16+январь!L16</f>
        <v>7.0699999999999994</v>
      </c>
      <c r="M16" s="16">
        <f>март!M16+февраль!M16+январь!M16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3.8700000000000005E-2</v>
      </c>
      <c r="E17" s="57">
        <f>F17+G17</f>
        <v>0</v>
      </c>
      <c r="F17" s="62"/>
      <c r="G17" s="63"/>
      <c r="H17" s="48">
        <f t="shared" si="1"/>
        <v>3.8700000000000005E-2</v>
      </c>
      <c r="I17" s="16">
        <f>март!I17+февраль!I17+январь!I17</f>
        <v>3.8700000000000005E-2</v>
      </c>
      <c r="J17" s="16">
        <f>март!J17+февраль!J17+январь!J17</f>
        <v>0</v>
      </c>
      <c r="K17" s="49">
        <f t="shared" si="2"/>
        <v>0</v>
      </c>
      <c r="L17" s="16">
        <f>март!L17+февраль!L17+январь!L17</f>
        <v>0</v>
      </c>
      <c r="M17" s="16">
        <f>март!M17+февраль!M17+январь!M17</f>
        <v>0</v>
      </c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97.779000000000011</v>
      </c>
      <c r="E18" s="57">
        <f>F18+G18</f>
        <v>0</v>
      </c>
      <c r="F18" s="62"/>
      <c r="G18" s="63"/>
      <c r="H18" s="48">
        <f t="shared" si="1"/>
        <v>97.779000000000011</v>
      </c>
      <c r="I18" s="16">
        <f>март!I18+февраль!I18+январь!I18</f>
        <v>97.779000000000011</v>
      </c>
      <c r="J18" s="16">
        <f>март!J18+февраль!J18+январь!J18</f>
        <v>0</v>
      </c>
      <c r="K18" s="49">
        <f t="shared" si="2"/>
        <v>0</v>
      </c>
      <c r="L18" s="16">
        <f>март!L18+февраль!L18+январь!L18</f>
        <v>0</v>
      </c>
      <c r="M18" s="16">
        <f>март!M18+февраль!M18+январь!M18</f>
        <v>0</v>
      </c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0.10400000000000001</v>
      </c>
      <c r="E19" s="57">
        <f>F19+G19</f>
        <v>0</v>
      </c>
      <c r="F19" s="62"/>
      <c r="G19" s="63"/>
      <c r="H19" s="48">
        <f t="shared" si="1"/>
        <v>8.6500000000000007E-2</v>
      </c>
      <c r="I19" s="16">
        <f>март!I19+февраль!I19+январь!I19</f>
        <v>8.6500000000000007E-2</v>
      </c>
      <c r="J19" s="16">
        <f>март!J19+февраль!J19+январь!J19</f>
        <v>0</v>
      </c>
      <c r="K19" s="49">
        <f t="shared" si="2"/>
        <v>1.7500000000000002E-2</v>
      </c>
      <c r="L19" s="16">
        <f>март!L19+февраль!L19+январь!L19</f>
        <v>1.7500000000000002E-2</v>
      </c>
      <c r="M19" s="16">
        <f>март!M19+февраль!M19+январь!M19</f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46.883000000000003</v>
      </c>
      <c r="E20" s="72">
        <f>F20+G20</f>
        <v>0</v>
      </c>
      <c r="F20" s="73"/>
      <c r="G20" s="74"/>
      <c r="H20" s="48">
        <f t="shared" si="1"/>
        <v>39.813000000000002</v>
      </c>
      <c r="I20" s="16">
        <f>март!I20+февраль!I20+январь!I20</f>
        <v>39.813000000000002</v>
      </c>
      <c r="J20" s="16">
        <f>март!J20+февраль!J20+январь!J20</f>
        <v>0</v>
      </c>
      <c r="K20" s="49">
        <f t="shared" si="2"/>
        <v>7.0699999999999994</v>
      </c>
      <c r="L20" s="16">
        <f>март!L20+февраль!L20+январь!L20</f>
        <v>7.0699999999999994</v>
      </c>
      <c r="M20" s="16">
        <f>март!M20+февраль!M20+январь!M20</f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16">
        <f>март!I21+февраль!I21+январь!I21</f>
        <v>0</v>
      </c>
      <c r="J21" s="16">
        <f>март!J21+февраль!J21+январь!J21</f>
        <v>0</v>
      </c>
      <c r="K21" s="49">
        <f t="shared" si="2"/>
        <v>0</v>
      </c>
      <c r="L21" s="16">
        <f>март!L21+февраль!L21+январь!L21</f>
        <v>0</v>
      </c>
      <c r="M21" s="16">
        <f>март!M21+февраль!M21+январь!M21</f>
        <v>0</v>
      </c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0</v>
      </c>
      <c r="E22" s="85"/>
      <c r="F22" s="86"/>
      <c r="G22" s="87"/>
      <c r="H22" s="41">
        <f t="shared" si="1"/>
        <v>0</v>
      </c>
      <c r="I22" s="86"/>
      <c r="J22" s="86"/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0</v>
      </c>
      <c r="E23" s="94"/>
      <c r="F23" s="95"/>
      <c r="G23" s="96"/>
      <c r="H23" s="41">
        <f t="shared" si="1"/>
        <v>0</v>
      </c>
      <c r="I23" s="95">
        <f>I25+I27+I29+I31+I32</f>
        <v>0</v>
      </c>
      <c r="J23" s="95">
        <f>J25+J27+J29+J31+J32</f>
        <v>0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0</v>
      </c>
      <c r="E24" s="57"/>
      <c r="F24" s="62"/>
      <c r="G24" s="63"/>
      <c r="H24" s="41">
        <f t="shared" si="1"/>
        <v>0</v>
      </c>
      <c r="I24" s="101">
        <f>март!I24+февраль!I24+январь!I24</f>
        <v>0</v>
      </c>
      <c r="J24" s="101">
        <f>март!J24+февраль!J24+январь!J24</f>
        <v>0</v>
      </c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0</v>
      </c>
      <c r="E25" s="57"/>
      <c r="F25" s="62"/>
      <c r="G25" s="63"/>
      <c r="H25" s="41">
        <f t="shared" si="1"/>
        <v>0</v>
      </c>
      <c r="I25" s="101">
        <f>март!I25+февраль!I25+январь!I25</f>
        <v>0</v>
      </c>
      <c r="J25" s="101">
        <f>март!J25+февраль!J25+январь!J25</f>
        <v>0</v>
      </c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0</v>
      </c>
      <c r="E26" s="57"/>
      <c r="F26" s="62"/>
      <c r="G26" s="63"/>
      <c r="H26" s="41">
        <f t="shared" si="1"/>
        <v>0</v>
      </c>
      <c r="I26" s="101">
        <f>март!I26+февраль!I26+январь!I26</f>
        <v>0</v>
      </c>
      <c r="J26" s="101">
        <f>март!J26+февраль!J26+январь!J26</f>
        <v>0</v>
      </c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0</v>
      </c>
      <c r="E27" s="57"/>
      <c r="F27" s="62"/>
      <c r="G27" s="63"/>
      <c r="H27" s="41">
        <f t="shared" si="1"/>
        <v>0</v>
      </c>
      <c r="I27" s="101">
        <f>март!I27+февраль!I27+январь!I27</f>
        <v>0</v>
      </c>
      <c r="J27" s="101">
        <f>март!J27+февраль!J27+январь!J27</f>
        <v>0</v>
      </c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>
        <f>март!I28+февраль!I28+январь!I28</f>
        <v>0</v>
      </c>
      <c r="J28" s="101">
        <f>март!J28+февраль!J28+январь!J28</f>
        <v>0</v>
      </c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>
        <f>март!I29+февраль!I29+январь!I29</f>
        <v>0</v>
      </c>
      <c r="J29" s="101">
        <f>март!J29+февраль!J29+январь!J29</f>
        <v>0</v>
      </c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>
        <f>март!I30+февраль!I30+январь!I30</f>
        <v>0</v>
      </c>
      <c r="J30" s="101">
        <f>март!J30+февраль!J30+январь!J30</f>
        <v>0</v>
      </c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>
        <f>март!I31+февраль!I31+январь!I31</f>
        <v>0</v>
      </c>
      <c r="J31" s="101">
        <f>март!J31+февраль!J31+январь!J31</f>
        <v>0</v>
      </c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0</v>
      </c>
      <c r="E32" s="57"/>
      <c r="F32" s="62"/>
      <c r="G32" s="63"/>
      <c r="H32" s="41">
        <f t="shared" si="1"/>
        <v>0</v>
      </c>
      <c r="I32" s="101">
        <f>март!I32+февраль!I32+январь!I32</f>
        <v>0</v>
      </c>
      <c r="J32" s="101">
        <f>март!J32+февраль!J32+январь!J32</f>
        <v>0</v>
      </c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0.24299999999999999</v>
      </c>
      <c r="E33" s="57">
        <f t="shared" ref="E33:E39" si="9">F33+G33</f>
        <v>0</v>
      </c>
      <c r="F33" s="62"/>
      <c r="G33" s="63"/>
      <c r="H33" s="41">
        <f t="shared" si="1"/>
        <v>0.20399999999999999</v>
      </c>
      <c r="I33" s="62">
        <f>март!I33+февраль!I33+январь!I33</f>
        <v>0.20399999999999999</v>
      </c>
      <c r="J33" s="62">
        <f>март!J33+февраль!J33+январь!J33</f>
        <v>0</v>
      </c>
      <c r="K33" s="41">
        <f t="shared" si="2"/>
        <v>3.9E-2</v>
      </c>
      <c r="L33" s="62">
        <f>март!L33+февраль!L33+январь!L33</f>
        <v>3.9E-2</v>
      </c>
      <c r="M33" s="62">
        <f>март!M33+февраль!M33+январь!M33</f>
        <v>0</v>
      </c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193.76400000000001</v>
      </c>
      <c r="E34" s="57">
        <f t="shared" si="9"/>
        <v>0</v>
      </c>
      <c r="F34" s="62"/>
      <c r="G34" s="63"/>
      <c r="H34" s="41">
        <f t="shared" si="1"/>
        <v>145.983</v>
      </c>
      <c r="I34" s="62">
        <f>март!I34+февраль!I34+январь!I34</f>
        <v>145.983</v>
      </c>
      <c r="J34" s="62">
        <f>март!J34+февраль!J34+январь!J34</f>
        <v>0</v>
      </c>
      <c r="K34" s="41">
        <f t="shared" si="2"/>
        <v>47.780999999999999</v>
      </c>
      <c r="L34" s="62">
        <f>март!L34+февраль!L34+январь!L34</f>
        <v>47.780999999999999</v>
      </c>
      <c r="M34" s="62">
        <f>март!M34+февраль!M34+январь!M34</f>
        <v>0</v>
      </c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0</v>
      </c>
      <c r="E35" s="57">
        <f t="shared" si="9"/>
        <v>0</v>
      </c>
      <c r="F35" s="62"/>
      <c r="G35" s="63"/>
      <c r="H35" s="41">
        <f t="shared" si="1"/>
        <v>0</v>
      </c>
      <c r="I35" s="62">
        <f>март!I35+февраль!I35+январь!I35</f>
        <v>0</v>
      </c>
      <c r="J35" s="62">
        <f>март!J35+февраль!J35+январь!J35</f>
        <v>0</v>
      </c>
      <c r="K35" s="41">
        <f t="shared" si="2"/>
        <v>0</v>
      </c>
      <c r="L35" s="62">
        <f>март!L35+февраль!L35+январь!L35</f>
        <v>0</v>
      </c>
      <c r="M35" s="62">
        <f>март!M35+февраль!M35+январь!M35</f>
        <v>0</v>
      </c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0</v>
      </c>
      <c r="E36" s="57">
        <f t="shared" si="9"/>
        <v>0</v>
      </c>
      <c r="F36" s="62"/>
      <c r="G36" s="63"/>
      <c r="H36" s="41">
        <f t="shared" si="1"/>
        <v>0</v>
      </c>
      <c r="I36" s="62">
        <f>март!I36+февраль!I36+январь!I36</f>
        <v>0</v>
      </c>
      <c r="J36" s="62">
        <f>март!J36+февраль!J36+январь!J36</f>
        <v>0</v>
      </c>
      <c r="K36" s="41">
        <f t="shared" si="2"/>
        <v>0</v>
      </c>
      <c r="L36" s="62">
        <f>март!L36+февраль!L36+январь!L36</f>
        <v>0</v>
      </c>
      <c r="M36" s="62">
        <f>март!M36+февраль!M36+январь!M36</f>
        <v>0</v>
      </c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0</v>
      </c>
      <c r="E37" s="57">
        <f t="shared" si="9"/>
        <v>0</v>
      </c>
      <c r="F37" s="62"/>
      <c r="G37" s="63"/>
      <c r="H37" s="41">
        <f t="shared" si="1"/>
        <v>0</v>
      </c>
      <c r="I37" s="62">
        <f>март!I37+февраль!I37+январь!I37</f>
        <v>0</v>
      </c>
      <c r="J37" s="62">
        <f>март!J37+февраль!J37+январь!J37</f>
        <v>0</v>
      </c>
      <c r="K37" s="41">
        <f t="shared" si="2"/>
        <v>0</v>
      </c>
      <c r="L37" s="62">
        <f>март!L37+февраль!L37+январь!L37</f>
        <v>0</v>
      </c>
      <c r="M37" s="62">
        <f>март!M37+февраль!M37+январь!M37</f>
        <v>0</v>
      </c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0</v>
      </c>
      <c r="E38" s="57">
        <f t="shared" si="9"/>
        <v>0</v>
      </c>
      <c r="F38" s="62"/>
      <c r="G38" s="63"/>
      <c r="H38" s="41">
        <f t="shared" si="1"/>
        <v>0</v>
      </c>
      <c r="I38" s="62">
        <f>март!I38+февраль!I38+январь!I38</f>
        <v>0</v>
      </c>
      <c r="J38" s="62">
        <f>март!J38+февраль!J38+январь!J38</f>
        <v>0</v>
      </c>
      <c r="K38" s="41">
        <f t="shared" si="2"/>
        <v>0</v>
      </c>
      <c r="L38" s="62">
        <f>март!L38+февраль!L38+январь!L38</f>
        <v>0</v>
      </c>
      <c r="M38" s="62">
        <f>март!M38+февраль!M38+январь!M38</f>
        <v>0</v>
      </c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0</v>
      </c>
      <c r="E39" s="72">
        <f t="shared" si="9"/>
        <v>0</v>
      </c>
      <c r="F39" s="73"/>
      <c r="G39" s="74"/>
      <c r="H39" s="41">
        <f t="shared" si="1"/>
        <v>0</v>
      </c>
      <c r="I39" s="62">
        <f>март!I39+февраль!I39+январь!I39</f>
        <v>0</v>
      </c>
      <c r="J39" s="62">
        <f>март!J39+февраль!J39+январь!J39</f>
        <v>0</v>
      </c>
      <c r="K39" s="41">
        <f t="shared" si="2"/>
        <v>0</v>
      </c>
      <c r="L39" s="62">
        <f>март!L39+февраль!L39+январь!L39</f>
        <v>0</v>
      </c>
      <c r="M39" s="62">
        <f>март!M39+февраль!M39+январь!M39</f>
        <v>0</v>
      </c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</v>
      </c>
      <c r="E40" s="123"/>
      <c r="F40" s="133"/>
      <c r="G40" s="134"/>
      <c r="H40" s="41">
        <f t="shared" si="1"/>
        <v>0</v>
      </c>
      <c r="I40" s="62">
        <f>март!I40+февраль!I40+январь!I40</f>
        <v>0</v>
      </c>
      <c r="J40" s="62">
        <f>март!J40+февраль!J40+январь!J40</f>
        <v>0</v>
      </c>
      <c r="K40" s="41">
        <f t="shared" si="2"/>
        <v>0</v>
      </c>
      <c r="L40" s="62">
        <f>март!L40+февраль!L40+январь!L40</f>
        <v>0</v>
      </c>
      <c r="M40" s="62">
        <f>март!M40+февраль!M40+январь!M40</f>
        <v>0</v>
      </c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0</v>
      </c>
      <c r="E41" s="121"/>
      <c r="F41" s="141"/>
      <c r="G41" s="142"/>
      <c r="H41" s="41">
        <f t="shared" si="1"/>
        <v>0</v>
      </c>
      <c r="I41" s="62">
        <f>март!I41+февраль!I41+январь!I41</f>
        <v>0</v>
      </c>
      <c r="J41" s="62">
        <f>март!J41+февраль!J41+январь!J41</f>
        <v>0</v>
      </c>
      <c r="K41" s="41">
        <f t="shared" si="2"/>
        <v>0</v>
      </c>
      <c r="L41" s="62">
        <f>март!L41+февраль!L41+январь!L41</f>
        <v>0</v>
      </c>
      <c r="M41" s="62">
        <f>март!M41+февраль!M41+январь!M41</f>
        <v>0</v>
      </c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0.11824000000000001</v>
      </c>
      <c r="E42" s="123"/>
      <c r="F42" s="133"/>
      <c r="G42" s="134"/>
      <c r="H42" s="41">
        <f t="shared" si="1"/>
        <v>0.11824000000000001</v>
      </c>
      <c r="I42" s="62">
        <f>март!I42+февраль!I42+январь!I42</f>
        <v>0.11324000000000001</v>
      </c>
      <c r="J42" s="62">
        <f>март!J42+февраль!J42+январь!J42</f>
        <v>5.0000000000000001E-3</v>
      </c>
      <c r="K42" s="41">
        <f t="shared" si="2"/>
        <v>0</v>
      </c>
      <c r="L42" s="62">
        <f>март!L42+февраль!L42+январь!L42</f>
        <v>0</v>
      </c>
      <c r="M42" s="62">
        <f>март!M42+февраль!M42+январь!M42</f>
        <v>0</v>
      </c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166.47900000000001</v>
      </c>
      <c r="E43" s="121"/>
      <c r="F43" s="141"/>
      <c r="G43" s="142"/>
      <c r="H43" s="41">
        <f t="shared" si="1"/>
        <v>166.47900000000001</v>
      </c>
      <c r="I43" s="62">
        <f>март!I43+февраль!I43+январь!I43</f>
        <v>136.56700000000001</v>
      </c>
      <c r="J43" s="62">
        <f>март!J43+февраль!J43+январь!J43</f>
        <v>29.911999999999999</v>
      </c>
      <c r="K43" s="41">
        <f t="shared" si="2"/>
        <v>0</v>
      </c>
      <c r="L43" s="62">
        <f>март!L43+февраль!L43+январь!L43</f>
        <v>0</v>
      </c>
      <c r="M43" s="62">
        <f>март!M43+февраль!M43+январь!M43</f>
        <v>0</v>
      </c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26</v>
      </c>
      <c r="E44" s="57">
        <f t="shared" ref="E44:E59" si="11">F44+G44</f>
        <v>0</v>
      </c>
      <c r="F44" s="62"/>
      <c r="G44" s="63"/>
      <c r="H44" s="41">
        <f t="shared" si="1"/>
        <v>26</v>
      </c>
      <c r="I44" s="62">
        <f>март!I44+февраль!I44+январь!I44</f>
        <v>26</v>
      </c>
      <c r="J44" s="62">
        <f>март!J44+февраль!J44+январь!J44</f>
        <v>0</v>
      </c>
      <c r="K44" s="41">
        <f t="shared" si="2"/>
        <v>0</v>
      </c>
      <c r="L44" s="62">
        <f>март!L44+февраль!L44+январь!L44</f>
        <v>0</v>
      </c>
      <c r="M44" s="62">
        <f>март!M44+февраль!M44+январь!M44</f>
        <v>0</v>
      </c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35.332999999999998</v>
      </c>
      <c r="E45" s="57">
        <f t="shared" si="11"/>
        <v>0</v>
      </c>
      <c r="F45" s="62"/>
      <c r="G45" s="63"/>
      <c r="H45" s="41">
        <f t="shared" si="1"/>
        <v>35.332999999999998</v>
      </c>
      <c r="I45" s="62">
        <f>март!I45+февраль!I45+январь!I45</f>
        <v>35.332999999999998</v>
      </c>
      <c r="J45" s="62">
        <f>март!J45+февраль!J45+январь!J45</f>
        <v>0</v>
      </c>
      <c r="K45" s="41">
        <f t="shared" si="2"/>
        <v>0</v>
      </c>
      <c r="L45" s="62">
        <f>март!L45+февраль!L45+январь!L45</f>
        <v>0</v>
      </c>
      <c r="M45" s="62">
        <f>март!M45+февраль!M45+январь!M45</f>
        <v>0</v>
      </c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>
        <f>март!I46+февраль!I46+январь!I46</f>
        <v>0</v>
      </c>
      <c r="J46" s="62">
        <f>март!J46+февраль!J46+январь!J46</f>
        <v>0</v>
      </c>
      <c r="K46" s="41">
        <f t="shared" si="2"/>
        <v>0</v>
      </c>
      <c r="L46" s="62">
        <f>март!L46+февраль!L46+январь!L46</f>
        <v>0</v>
      </c>
      <c r="M46" s="62">
        <f>март!M46+февраль!M46+январь!M46</f>
        <v>0</v>
      </c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>
        <f>март!I47+февраль!I47+январь!I47</f>
        <v>0</v>
      </c>
      <c r="J47" s="62">
        <f>март!J47+февраль!J47+январь!J47</f>
        <v>0</v>
      </c>
      <c r="K47" s="41">
        <f t="shared" si="2"/>
        <v>0</v>
      </c>
      <c r="L47" s="62">
        <f>март!L47+февраль!L47+январь!L47</f>
        <v>0</v>
      </c>
      <c r="M47" s="62">
        <f>март!M47+февраль!M47+январь!M47</f>
        <v>0</v>
      </c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0</v>
      </c>
      <c r="E48" s="57">
        <f t="shared" si="11"/>
        <v>0</v>
      </c>
      <c r="F48" s="62"/>
      <c r="G48" s="63"/>
      <c r="H48" s="41">
        <f t="shared" si="1"/>
        <v>0</v>
      </c>
      <c r="I48" s="62">
        <f>март!I48+февраль!I48+январь!I48</f>
        <v>0</v>
      </c>
      <c r="J48" s="62">
        <f>март!J48+февраль!J48+январь!J48</f>
        <v>0</v>
      </c>
      <c r="K48" s="41">
        <f t="shared" si="2"/>
        <v>0</v>
      </c>
      <c r="L48" s="62">
        <f>март!L48+февраль!L48+январь!L48</f>
        <v>0</v>
      </c>
      <c r="M48" s="62">
        <f>март!M48+февраль!M48+январь!M48</f>
        <v>0</v>
      </c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0</v>
      </c>
      <c r="E49" s="57">
        <f t="shared" si="11"/>
        <v>0</v>
      </c>
      <c r="F49" s="62"/>
      <c r="G49" s="63"/>
      <c r="H49" s="41">
        <f t="shared" si="1"/>
        <v>0</v>
      </c>
      <c r="I49" s="62">
        <f>март!I49+февраль!I49+январь!I49</f>
        <v>0</v>
      </c>
      <c r="J49" s="62">
        <f>март!J49+февраль!J49+январь!J49</f>
        <v>0</v>
      </c>
      <c r="K49" s="41">
        <f t="shared" si="2"/>
        <v>0</v>
      </c>
      <c r="L49" s="62">
        <f>март!L49+февраль!L49+январь!L49</f>
        <v>0</v>
      </c>
      <c r="M49" s="62">
        <f>март!M49+февраль!M49+январь!M49</f>
        <v>0</v>
      </c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12</v>
      </c>
      <c r="E50" s="57">
        <f t="shared" si="11"/>
        <v>0</v>
      </c>
      <c r="F50" s="62"/>
      <c r="G50" s="63"/>
      <c r="H50" s="41">
        <f t="shared" si="1"/>
        <v>12</v>
      </c>
      <c r="I50" s="62">
        <f>март!I50+февраль!I50+январь!I50</f>
        <v>12</v>
      </c>
      <c r="J50" s="62">
        <f>март!J50+февраль!J50+январь!J50</f>
        <v>0</v>
      </c>
      <c r="K50" s="41">
        <f t="shared" si="2"/>
        <v>0</v>
      </c>
      <c r="L50" s="62">
        <f>март!L50+февраль!L50+январь!L50</f>
        <v>0</v>
      </c>
      <c r="M50" s="62">
        <f>март!M50+февраль!M50+январь!M50</f>
        <v>0</v>
      </c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414.185</v>
      </c>
      <c r="E51" s="57">
        <f t="shared" si="11"/>
        <v>0</v>
      </c>
      <c r="F51" s="62"/>
      <c r="G51" s="63"/>
      <c r="H51" s="41">
        <f t="shared" si="1"/>
        <v>414.185</v>
      </c>
      <c r="I51" s="62">
        <f>март!I51+февраль!I51+январь!I51</f>
        <v>414.185</v>
      </c>
      <c r="J51" s="62">
        <f>март!J51+февраль!J51+январь!J51</f>
        <v>0</v>
      </c>
      <c r="K51" s="41">
        <f t="shared" si="2"/>
        <v>0</v>
      </c>
      <c r="L51" s="62">
        <f>март!L51+февраль!L51+январь!L51</f>
        <v>0</v>
      </c>
      <c r="M51" s="62">
        <f>март!M51+февраль!M51+январь!M51</f>
        <v>0</v>
      </c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37</v>
      </c>
      <c r="E52" s="57">
        <f t="shared" si="11"/>
        <v>0</v>
      </c>
      <c r="F52" s="62"/>
      <c r="G52" s="63"/>
      <c r="H52" s="41">
        <f t="shared" si="1"/>
        <v>35</v>
      </c>
      <c r="I52" s="62">
        <f>март!I52+февраль!I52+январь!I52</f>
        <v>32</v>
      </c>
      <c r="J52" s="62">
        <f>март!J52+февраль!J52+январь!J52</f>
        <v>3</v>
      </c>
      <c r="K52" s="41">
        <f t="shared" si="2"/>
        <v>2</v>
      </c>
      <c r="L52" s="62">
        <f>март!L52+февраль!L52+январь!L52</f>
        <v>2</v>
      </c>
      <c r="M52" s="62">
        <f>март!M52+февраль!M52+январь!M52</f>
        <v>0</v>
      </c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514.928</v>
      </c>
      <c r="E53" s="57">
        <f t="shared" si="11"/>
        <v>0</v>
      </c>
      <c r="F53" s="62"/>
      <c r="G53" s="63"/>
      <c r="H53" s="41">
        <f t="shared" si="1"/>
        <v>505.37800000000004</v>
      </c>
      <c r="I53" s="62">
        <f>март!I53+февраль!I53+январь!I53</f>
        <v>411.07800000000003</v>
      </c>
      <c r="J53" s="62">
        <f>март!J53+февраль!J53+январь!J53</f>
        <v>94.3</v>
      </c>
      <c r="K53" s="41">
        <f t="shared" si="2"/>
        <v>9.5500000000000007</v>
      </c>
      <c r="L53" s="62">
        <f>март!L53+февраль!L53+январь!L53</f>
        <v>9.5500000000000007</v>
      </c>
      <c r="M53" s="62">
        <f>март!M53+февраль!M53+январь!M53</f>
        <v>0</v>
      </c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54</v>
      </c>
      <c r="E54" s="57">
        <f t="shared" si="11"/>
        <v>0</v>
      </c>
      <c r="F54" s="62"/>
      <c r="G54" s="63"/>
      <c r="H54" s="41">
        <f t="shared" si="1"/>
        <v>54</v>
      </c>
      <c r="I54" s="62">
        <f>март!I54+февраль!I54+январь!I54</f>
        <v>54</v>
      </c>
      <c r="J54" s="62">
        <f>март!J54+февраль!J54+январь!J54</f>
        <v>0</v>
      </c>
      <c r="K54" s="41">
        <f t="shared" si="2"/>
        <v>0</v>
      </c>
      <c r="L54" s="62">
        <f>март!L54+февраль!L54+январь!L54</f>
        <v>0</v>
      </c>
      <c r="M54" s="62">
        <f>март!M54+февраль!M54+январь!M54</f>
        <v>0</v>
      </c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432.2050000000001</v>
      </c>
      <c r="E55" s="57">
        <f t="shared" si="11"/>
        <v>0</v>
      </c>
      <c r="F55" s="62"/>
      <c r="G55" s="63"/>
      <c r="H55" s="41">
        <f t="shared" si="1"/>
        <v>432.2050000000001</v>
      </c>
      <c r="I55" s="62">
        <f>март!I55+февраль!I55+январь!I55</f>
        <v>432.2050000000001</v>
      </c>
      <c r="J55" s="62">
        <f>март!J55+февраль!J55+январь!J55</f>
        <v>0</v>
      </c>
      <c r="K55" s="41">
        <f t="shared" si="2"/>
        <v>0</v>
      </c>
      <c r="L55" s="62">
        <f>март!L55+февраль!L55+январь!L55</f>
        <v>0</v>
      </c>
      <c r="M55" s="62">
        <f>март!M55+февраль!M55+январь!M55</f>
        <v>0</v>
      </c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7.0250000000000007E-2</v>
      </c>
      <c r="E56" s="57">
        <f t="shared" si="11"/>
        <v>0</v>
      </c>
      <c r="F56" s="62"/>
      <c r="G56" s="63"/>
      <c r="H56" s="41">
        <f t="shared" si="1"/>
        <v>7.0250000000000007E-2</v>
      </c>
      <c r="I56" s="62">
        <f>март!I56+февраль!I56+январь!I56</f>
        <v>7.0250000000000007E-2</v>
      </c>
      <c r="J56" s="62">
        <f>март!J56+февраль!J56+январь!J56</f>
        <v>0</v>
      </c>
      <c r="K56" s="41">
        <f t="shared" si="2"/>
        <v>0</v>
      </c>
      <c r="L56" s="62">
        <f>март!L56+февраль!L56+январь!L56</f>
        <v>0</v>
      </c>
      <c r="M56" s="62">
        <f>март!M56+февраль!M56+январь!M56</f>
        <v>0</v>
      </c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74.986000000000004</v>
      </c>
      <c r="E57" s="57">
        <f t="shared" si="11"/>
        <v>0</v>
      </c>
      <c r="F57" s="62"/>
      <c r="G57" s="63"/>
      <c r="H57" s="41">
        <f t="shared" si="1"/>
        <v>74.986000000000004</v>
      </c>
      <c r="I57" s="62">
        <f>март!I57+февраль!I57+январь!I57</f>
        <v>74.986000000000004</v>
      </c>
      <c r="J57" s="62">
        <f>март!J57+февраль!J57+январь!J57</f>
        <v>0</v>
      </c>
      <c r="K57" s="41">
        <f t="shared" si="2"/>
        <v>0</v>
      </c>
      <c r="L57" s="62">
        <f>март!L57+февраль!L57+январь!L57</f>
        <v>0</v>
      </c>
      <c r="M57" s="62">
        <f>март!M57+февраль!M57+январь!M57</f>
        <v>0</v>
      </c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1</v>
      </c>
      <c r="E58" s="57">
        <f t="shared" si="11"/>
        <v>0</v>
      </c>
      <c r="F58" s="62"/>
      <c r="G58" s="63"/>
      <c r="H58" s="41">
        <f t="shared" si="1"/>
        <v>1</v>
      </c>
      <c r="I58" s="62">
        <f>март!I58+февраль!I58+январь!I58</f>
        <v>1</v>
      </c>
      <c r="J58" s="62">
        <f>март!J58+февраль!J58+январь!J58</f>
        <v>0</v>
      </c>
      <c r="K58" s="41">
        <f t="shared" si="2"/>
        <v>0</v>
      </c>
      <c r="L58" s="62">
        <f>март!L58+февраль!L58+январь!L58</f>
        <v>0</v>
      </c>
      <c r="M58" s="62">
        <f>март!M58+февраль!M58+январь!M58</f>
        <v>0</v>
      </c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4.5369999999999999</v>
      </c>
      <c r="E59" s="72">
        <f t="shared" si="11"/>
        <v>0</v>
      </c>
      <c r="F59" s="73"/>
      <c r="G59" s="74"/>
      <c r="H59" s="41">
        <f t="shared" si="1"/>
        <v>4.5369999999999999</v>
      </c>
      <c r="I59" s="62">
        <f>март!I59+февраль!I59+январь!I59</f>
        <v>4.5369999999999999</v>
      </c>
      <c r="J59" s="62">
        <f>март!J59+февраль!J59+январь!J59</f>
        <v>0</v>
      </c>
      <c r="K59" s="41">
        <f t="shared" si="2"/>
        <v>0</v>
      </c>
      <c r="L59" s="62">
        <f>март!L59+февраль!L59+январь!L59</f>
        <v>0</v>
      </c>
      <c r="M59" s="62">
        <f>март!M59+февраль!M59+январь!M59</f>
        <v>0</v>
      </c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>
        <f>март!I60+февраль!I60+январь!I60</f>
        <v>0</v>
      </c>
      <c r="J60" s="62">
        <f>март!J60+февраль!J60+январь!J60</f>
        <v>0</v>
      </c>
      <c r="K60" s="41">
        <f t="shared" si="2"/>
        <v>0</v>
      </c>
      <c r="L60" s="62">
        <f>март!L60+февраль!L60+январь!L60</f>
        <v>0</v>
      </c>
      <c r="M60" s="62">
        <f>март!M60+февраль!M60+январь!M60</f>
        <v>0</v>
      </c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>
        <f>март!I61+февраль!I61+январь!I61</f>
        <v>0</v>
      </c>
      <c r="J61" s="62">
        <f>март!J61+февраль!J61+январь!J61</f>
        <v>0</v>
      </c>
      <c r="K61" s="41">
        <f t="shared" si="2"/>
        <v>0</v>
      </c>
      <c r="L61" s="62">
        <f>март!L61+февраль!L61+январь!L61</f>
        <v>0</v>
      </c>
      <c r="M61" s="62">
        <f>март!M61+февраль!M61+январь!M61</f>
        <v>0</v>
      </c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>
        <f>март!I62+февраль!I62+январь!I62</f>
        <v>0</v>
      </c>
      <c r="J62" s="62">
        <f>март!J62+февраль!J62+январь!J62</f>
        <v>0</v>
      </c>
      <c r="K62" s="41">
        <f t="shared" si="2"/>
        <v>0</v>
      </c>
      <c r="L62" s="62">
        <f>март!L62+февраль!L62+январь!L62</f>
        <v>0</v>
      </c>
      <c r="M62" s="62">
        <f>март!M62+февраль!M62+январь!M62</f>
        <v>0</v>
      </c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>
        <f>март!I63+февраль!I63+январь!I63</f>
        <v>0</v>
      </c>
      <c r="J63" s="62">
        <f>март!J63+февраль!J63+январь!J63</f>
        <v>0</v>
      </c>
      <c r="K63" s="41">
        <f t="shared" si="2"/>
        <v>0</v>
      </c>
      <c r="L63" s="62">
        <f>март!L63+февраль!L63+январь!L63</f>
        <v>0</v>
      </c>
      <c r="M63" s="62">
        <f>март!M63+февраль!M63+январь!M63</f>
        <v>0</v>
      </c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>
        <f>март!I64+февраль!I64+январь!I64</f>
        <v>0</v>
      </c>
      <c r="J64" s="62">
        <f>март!J64+февраль!J64+январь!J64</f>
        <v>0</v>
      </c>
      <c r="K64" s="41">
        <f t="shared" si="2"/>
        <v>0</v>
      </c>
      <c r="L64" s="62">
        <f>март!L64+февраль!L64+январь!L64</f>
        <v>0</v>
      </c>
      <c r="M64" s="62">
        <f>март!M64+февраль!M64+январь!M64</f>
        <v>0</v>
      </c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>
        <f>март!I65+февраль!I65+январь!I65</f>
        <v>0</v>
      </c>
      <c r="J65" s="62">
        <f>март!J65+февраль!J65+январь!J65</f>
        <v>0</v>
      </c>
      <c r="K65" s="41">
        <f t="shared" si="2"/>
        <v>0</v>
      </c>
      <c r="L65" s="62">
        <f>март!L65+февраль!L65+январь!L65</f>
        <v>0</v>
      </c>
      <c r="M65" s="62">
        <f>март!M65+февраль!M65+январь!M65</f>
        <v>0</v>
      </c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6</v>
      </c>
      <c r="E66" s="158"/>
      <c r="F66" s="159"/>
      <c r="G66" s="160"/>
      <c r="H66" s="41">
        <f t="shared" si="1"/>
        <v>6</v>
      </c>
      <c r="I66" s="62">
        <f>март!I66+февраль!I66+январь!I66</f>
        <v>6</v>
      </c>
      <c r="J66" s="62">
        <f>март!J66+февраль!J66+январь!J66</f>
        <v>0</v>
      </c>
      <c r="K66" s="41">
        <f t="shared" si="2"/>
        <v>0</v>
      </c>
      <c r="L66" s="62">
        <f>март!L66+февраль!L66+январь!L66</f>
        <v>0</v>
      </c>
      <c r="M66" s="62">
        <f>март!M66+февраль!M66+январь!M66</f>
        <v>0</v>
      </c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8.14</v>
      </c>
      <c r="E67" s="166"/>
      <c r="F67" s="167"/>
      <c r="G67" s="168"/>
      <c r="H67" s="41">
        <f t="shared" si="1"/>
        <v>8.14</v>
      </c>
      <c r="I67" s="62">
        <f>март!I67+февраль!I67+январь!I67</f>
        <v>8.14</v>
      </c>
      <c r="J67" s="62">
        <f>март!J67+февраль!J67+январь!J67</f>
        <v>0</v>
      </c>
      <c r="K67" s="41">
        <f t="shared" si="2"/>
        <v>0</v>
      </c>
      <c r="L67" s="62">
        <f>март!L67+февраль!L67+январь!L67</f>
        <v>0</v>
      </c>
      <c r="M67" s="62">
        <f>март!M67+февраль!M67+январь!M67</f>
        <v>0</v>
      </c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>
        <f>март!I68+февраль!I68+январь!I68</f>
        <v>0</v>
      </c>
      <c r="J68" s="62">
        <f>март!J68+февраль!J68+январь!J68</f>
        <v>0</v>
      </c>
      <c r="K68" s="41">
        <f t="shared" si="2"/>
        <v>0</v>
      </c>
      <c r="L68" s="62">
        <f>март!L68+февраль!L68+январь!L68</f>
        <v>0</v>
      </c>
      <c r="M68" s="62">
        <f>март!M68+февраль!M68+январь!M68</f>
        <v>0</v>
      </c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>
        <f>март!I69+февраль!I69+январь!I69</f>
        <v>0</v>
      </c>
      <c r="J69" s="62">
        <f>март!J69+февраль!J69+январь!J69</f>
        <v>0</v>
      </c>
      <c r="K69" s="41">
        <f t="shared" si="2"/>
        <v>0</v>
      </c>
      <c r="L69" s="62">
        <f>март!L69+февраль!L69+январь!L69</f>
        <v>0</v>
      </c>
      <c r="M69" s="62">
        <f>март!M69+февраль!M69+январь!M69</f>
        <v>0</v>
      </c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0</v>
      </c>
      <c r="E70" s="158"/>
      <c r="F70" s="159"/>
      <c r="G70" s="160"/>
      <c r="H70" s="41">
        <f t="shared" si="1"/>
        <v>0</v>
      </c>
      <c r="I70" s="62">
        <f>март!I70+февраль!I70+январь!I70</f>
        <v>0</v>
      </c>
      <c r="J70" s="62">
        <f>март!J70+февраль!J70+январь!J70</f>
        <v>0</v>
      </c>
      <c r="K70" s="41">
        <f t="shared" si="2"/>
        <v>0</v>
      </c>
      <c r="L70" s="62">
        <f>март!L70+февраль!L70+январь!L70</f>
        <v>0</v>
      </c>
      <c r="M70" s="62">
        <f>март!M70+февраль!M70+январь!M70</f>
        <v>0</v>
      </c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0</v>
      </c>
      <c r="E71" s="166"/>
      <c r="F71" s="167"/>
      <c r="G71" s="168"/>
      <c r="H71" s="41">
        <f t="shared" si="1"/>
        <v>0</v>
      </c>
      <c r="I71" s="62">
        <f>март!I71+февраль!I71+январь!I71</f>
        <v>0</v>
      </c>
      <c r="J71" s="62">
        <f>март!J71+февраль!J71+январь!J71</f>
        <v>0</v>
      </c>
      <c r="K71" s="41">
        <f t="shared" si="2"/>
        <v>0</v>
      </c>
      <c r="L71" s="62">
        <f>март!L71+февраль!L71+январь!L71</f>
        <v>0</v>
      </c>
      <c r="M71" s="62">
        <f>март!M71+февраль!M71+январь!M71</f>
        <v>0</v>
      </c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2650.5645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2446.2170000000001</v>
      </c>
      <c r="I72" s="178">
        <f>I74+I84+I86</f>
        <v>2446.2170000000001</v>
      </c>
      <c r="J72" s="178">
        <f>J74+J84+J86</f>
        <v>0</v>
      </c>
      <c r="K72" s="41">
        <f t="shared" si="2"/>
        <v>204.34750000000003</v>
      </c>
      <c r="L72" s="179">
        <f t="shared" si="13"/>
        <v>204.34750000000003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1.8980499999999998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1.7654499999999997</v>
      </c>
      <c r="I73" s="18">
        <f t="shared" si="14"/>
        <v>1.7654499999999997</v>
      </c>
      <c r="J73" s="18">
        <f t="shared" si="14"/>
        <v>0</v>
      </c>
      <c r="K73" s="49">
        <f t="shared" si="2"/>
        <v>0.1326</v>
      </c>
      <c r="L73" s="18">
        <f t="shared" si="14"/>
        <v>0.1326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1857.2194999999999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1741.7839999999999</v>
      </c>
      <c r="I74" s="18">
        <f>I76+I78+I80+I82</f>
        <v>1741.7839999999999</v>
      </c>
      <c r="J74" s="18">
        <f>J76+J78+J80+J82</f>
        <v>0</v>
      </c>
      <c r="K74" s="49">
        <f t="shared" si="2"/>
        <v>115.4355</v>
      </c>
      <c r="L74" s="18">
        <f>L76+L78+L80+L82</f>
        <v>115.4355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0.126</v>
      </c>
      <c r="E75" s="57">
        <f t="shared" ref="E75:E86" si="16">F75+G75</f>
        <v>0</v>
      </c>
      <c r="F75" s="62"/>
      <c r="G75" s="62"/>
      <c r="H75" s="48">
        <f t="shared" si="1"/>
        <v>0.11249999999999999</v>
      </c>
      <c r="I75" s="20">
        <f>март!I75+февраль!I75+январь!I75</f>
        <v>0.11249999999999999</v>
      </c>
      <c r="J75" s="20">
        <f>март!J75+февраль!J75+январь!J75</f>
        <v>0</v>
      </c>
      <c r="K75" s="49">
        <f t="shared" si="2"/>
        <v>1.35E-2</v>
      </c>
      <c r="L75" s="20">
        <f>март!L75+февраль!L75+январь!L75</f>
        <v>1.35E-2</v>
      </c>
      <c r="M75" s="20">
        <f>март!M75+февраль!M75+январь!M75</f>
        <v>0</v>
      </c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107.29300000000002</v>
      </c>
      <c r="E76" s="57">
        <f t="shared" si="16"/>
        <v>0</v>
      </c>
      <c r="F76" s="62"/>
      <c r="G76" s="62"/>
      <c r="H76" s="48">
        <f t="shared" si="1"/>
        <v>98.759000000000015</v>
      </c>
      <c r="I76" s="20">
        <f>март!I76+февраль!I76+январь!I76</f>
        <v>98.759000000000015</v>
      </c>
      <c r="J76" s="20">
        <f>март!J76+февраль!J76+январь!J76</f>
        <v>0</v>
      </c>
      <c r="K76" s="49">
        <f t="shared" si="2"/>
        <v>8.5340000000000007</v>
      </c>
      <c r="L76" s="20">
        <f>март!L76+февраль!L76+январь!L76</f>
        <v>8.5340000000000007</v>
      </c>
      <c r="M76" s="20">
        <f>март!M76+февраль!M76+январь!M76</f>
        <v>0</v>
      </c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0.74890000000000001</v>
      </c>
      <c r="E77" s="57">
        <f t="shared" si="16"/>
        <v>0</v>
      </c>
      <c r="F77" s="62"/>
      <c r="G77" s="62"/>
      <c r="H77" s="48">
        <f t="shared" si="1"/>
        <v>0.69569999999999999</v>
      </c>
      <c r="I77" s="20">
        <f>март!I77+февраль!I77+январь!I77</f>
        <v>0.69569999999999999</v>
      </c>
      <c r="J77" s="20">
        <f>март!J77+февраль!J77+январь!J77</f>
        <v>0</v>
      </c>
      <c r="K77" s="49">
        <f t="shared" si="2"/>
        <v>5.3200000000000004E-2</v>
      </c>
      <c r="L77" s="20">
        <f>март!L77+февраль!L77+январь!L77</f>
        <v>5.3200000000000004E-2</v>
      </c>
      <c r="M77" s="20">
        <f>март!M77+февраль!M77+январь!M77</f>
        <v>0</v>
      </c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633.28800000000001</v>
      </c>
      <c r="E78" s="57">
        <f t="shared" si="16"/>
        <v>0</v>
      </c>
      <c r="F78" s="62"/>
      <c r="G78" s="62"/>
      <c r="H78" s="48">
        <f t="shared" ref="H78:H97" si="23">I78+J78</f>
        <v>596.99699999999996</v>
      </c>
      <c r="I78" s="20">
        <f>март!I78+февраль!I78+январь!I78</f>
        <v>596.99699999999996</v>
      </c>
      <c r="J78" s="20">
        <f>март!J78+февраль!J78+январь!J78</f>
        <v>0</v>
      </c>
      <c r="K78" s="49">
        <f t="shared" ref="K78:K97" si="24">L78+M78</f>
        <v>36.290999999999997</v>
      </c>
      <c r="L78" s="20">
        <f>март!L78+февраль!L78+январь!L78</f>
        <v>36.290999999999997</v>
      </c>
      <c r="M78" s="20">
        <f>март!M78+февраль!M78+январь!M78</f>
        <v>0</v>
      </c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0.75739999999999974</v>
      </c>
      <c r="E79" s="57">
        <f t="shared" si="16"/>
        <v>0</v>
      </c>
      <c r="F79" s="62"/>
      <c r="G79" s="62"/>
      <c r="H79" s="48">
        <f t="shared" si="23"/>
        <v>0.72029999999999972</v>
      </c>
      <c r="I79" s="20">
        <f>март!I79+февраль!I79+январь!I79</f>
        <v>0.72029999999999972</v>
      </c>
      <c r="J79" s="20">
        <f>март!J79+февраль!J79+январь!J79</f>
        <v>0</v>
      </c>
      <c r="K79" s="49">
        <f t="shared" si="24"/>
        <v>3.7100000000000001E-2</v>
      </c>
      <c r="L79" s="20">
        <f>март!L79+февраль!L79+январь!L79</f>
        <v>3.7100000000000001E-2</v>
      </c>
      <c r="M79" s="20">
        <f>март!M79+февраль!M79+январь!M79</f>
        <v>0</v>
      </c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685.11199999999997</v>
      </c>
      <c r="E80" s="57">
        <f t="shared" si="16"/>
        <v>0</v>
      </c>
      <c r="F80" s="62"/>
      <c r="G80" s="62"/>
      <c r="H80" s="48">
        <f t="shared" si="23"/>
        <v>659.00799999999992</v>
      </c>
      <c r="I80" s="20">
        <f>март!I80+февраль!I80+январь!I80</f>
        <v>659.00799999999992</v>
      </c>
      <c r="J80" s="20">
        <f>март!J80+февраль!J80+январь!J80</f>
        <v>0</v>
      </c>
      <c r="K80" s="49">
        <f t="shared" si="24"/>
        <v>26.103999999999999</v>
      </c>
      <c r="L80" s="20">
        <f>март!L80+февраль!L80+январь!L80</f>
        <v>26.103999999999999</v>
      </c>
      <c r="M80" s="20">
        <f>март!M80+февраль!M80+январь!M80</f>
        <v>0</v>
      </c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0.26575000000000004</v>
      </c>
      <c r="E81" s="57">
        <f t="shared" si="16"/>
        <v>0</v>
      </c>
      <c r="F81" s="62"/>
      <c r="G81" s="62"/>
      <c r="H81" s="48">
        <f t="shared" si="23"/>
        <v>0.23695000000000002</v>
      </c>
      <c r="I81" s="20">
        <f>март!I81+февраль!I81+январь!I81</f>
        <v>0.23695000000000002</v>
      </c>
      <c r="J81" s="20">
        <f>март!J81+февраль!J81+январь!J81</f>
        <v>0</v>
      </c>
      <c r="K81" s="49">
        <f t="shared" si="24"/>
        <v>2.8800000000000003E-2</v>
      </c>
      <c r="L81" s="20">
        <f>март!L81+февраль!L81+январь!L81</f>
        <v>2.8800000000000003E-2</v>
      </c>
      <c r="M81" s="20">
        <f>март!M81+февраль!M81+январь!M81</f>
        <v>0</v>
      </c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431.52650000000006</v>
      </c>
      <c r="E82" s="57">
        <f t="shared" si="16"/>
        <v>0</v>
      </c>
      <c r="F82" s="62"/>
      <c r="G82" s="62"/>
      <c r="H82" s="48">
        <f t="shared" si="23"/>
        <v>387.02000000000004</v>
      </c>
      <c r="I82" s="20">
        <f>март!I82+февраль!I82+январь!I82</f>
        <v>387.02000000000004</v>
      </c>
      <c r="J82" s="20">
        <f>март!J82+февраль!J82+январь!J82</f>
        <v>0</v>
      </c>
      <c r="K82" s="49">
        <f t="shared" si="24"/>
        <v>44.506500000000003</v>
      </c>
      <c r="L82" s="20">
        <f>март!L82+февраль!L82+январь!L82</f>
        <v>44.506500000000003</v>
      </c>
      <c r="M82" s="20">
        <f>март!M82+февраль!M82+январь!M82</f>
        <v>0</v>
      </c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77</v>
      </c>
      <c r="E83" s="57">
        <f t="shared" si="16"/>
        <v>0</v>
      </c>
      <c r="F83" s="62"/>
      <c r="G83" s="62"/>
      <c r="H83" s="48">
        <f t="shared" si="23"/>
        <v>65</v>
      </c>
      <c r="I83" s="20">
        <f>март!I83+февраль!I83+январь!I83</f>
        <v>65</v>
      </c>
      <c r="J83" s="20">
        <f>март!J83+февраль!J83+январь!J83</f>
        <v>0</v>
      </c>
      <c r="K83" s="49">
        <f t="shared" si="24"/>
        <v>12</v>
      </c>
      <c r="L83" s="20">
        <f>март!L83+февраль!L83+январь!L83</f>
        <v>12</v>
      </c>
      <c r="M83" s="20">
        <f>март!M83+февраль!M83+январь!M83</f>
        <v>0</v>
      </c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470.81799999999998</v>
      </c>
      <c r="E84" s="57">
        <f t="shared" si="16"/>
        <v>0</v>
      </c>
      <c r="F84" s="62"/>
      <c r="G84" s="62"/>
      <c r="H84" s="48">
        <f t="shared" si="23"/>
        <v>397.15600000000001</v>
      </c>
      <c r="I84" s="20">
        <f>март!I84+февраль!I84+январь!I84</f>
        <v>397.15600000000001</v>
      </c>
      <c r="J84" s="20">
        <f>март!J84+февраль!J84+январь!J84</f>
        <v>0</v>
      </c>
      <c r="K84" s="49">
        <f t="shared" si="24"/>
        <v>73.662000000000006</v>
      </c>
      <c r="L84" s="20">
        <f>март!L84+февраль!L84+январь!L84</f>
        <v>73.662000000000006</v>
      </c>
      <c r="M84" s="20">
        <f>март!M84+февраль!M84+январь!M84</f>
        <v>0</v>
      </c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373</v>
      </c>
      <c r="E85" s="57">
        <f t="shared" si="16"/>
        <v>0</v>
      </c>
      <c r="F85" s="62"/>
      <c r="G85" s="62"/>
      <c r="H85" s="48">
        <f t="shared" si="23"/>
        <v>352</v>
      </c>
      <c r="I85" s="20">
        <f>март!I85+февраль!I85+январь!I85</f>
        <v>352</v>
      </c>
      <c r="J85" s="20">
        <f>март!J85+февраль!J85+январь!J85</f>
        <v>0</v>
      </c>
      <c r="K85" s="49">
        <f t="shared" si="24"/>
        <v>21</v>
      </c>
      <c r="L85" s="20">
        <f>март!L85+февраль!L85+январь!L85</f>
        <v>21</v>
      </c>
      <c r="M85" s="20">
        <f>март!M85+февраль!M85+январь!M85</f>
        <v>0</v>
      </c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322.52699999999993</v>
      </c>
      <c r="E86" s="57">
        <f t="shared" si="16"/>
        <v>0</v>
      </c>
      <c r="F86" s="62"/>
      <c r="G86" s="62"/>
      <c r="H86" s="48">
        <f t="shared" si="23"/>
        <v>307.27699999999993</v>
      </c>
      <c r="I86" s="20">
        <f>март!I86+февраль!I86+январь!I86</f>
        <v>307.27699999999993</v>
      </c>
      <c r="J86" s="20">
        <f>март!J86+февраль!J86+январь!J86</f>
        <v>0</v>
      </c>
      <c r="K86" s="49">
        <f t="shared" si="24"/>
        <v>15.250000000000002</v>
      </c>
      <c r="L86" s="20">
        <f>март!L86+февраль!L86+январь!L86</f>
        <v>15.250000000000002</v>
      </c>
      <c r="M86" s="20">
        <f>март!M86+февраль!M86+январь!M86</f>
        <v>0</v>
      </c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964.83999999999958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954.42199999999957</v>
      </c>
      <c r="I87" s="195">
        <f t="shared" si="25"/>
        <v>954.42199999999957</v>
      </c>
      <c r="J87" s="195">
        <f t="shared" si="25"/>
        <v>0</v>
      </c>
      <c r="K87" s="41">
        <f t="shared" si="24"/>
        <v>10.417999999999999</v>
      </c>
      <c r="L87" s="195">
        <f t="shared" si="25"/>
        <v>10.417999999999999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0.54500000000000004</v>
      </c>
      <c r="E88" s="57">
        <f>F88+G88</f>
        <v>0</v>
      </c>
      <c r="F88" s="62"/>
      <c r="G88" s="62"/>
      <c r="H88" s="41">
        <f t="shared" si="23"/>
        <v>0.54500000000000004</v>
      </c>
      <c r="I88" s="196">
        <f>март!I88+февраль!I88+январь!I88</f>
        <v>0.54500000000000004</v>
      </c>
      <c r="J88" s="196">
        <f>март!J88+февраль!J88+январь!J88</f>
        <v>0</v>
      </c>
      <c r="K88" s="41">
        <f t="shared" si="24"/>
        <v>0</v>
      </c>
      <c r="L88" s="62">
        <f>март!L88+февраль!L88+январь!L88</f>
        <v>0</v>
      </c>
      <c r="M88" s="62">
        <f>март!M88+февраль!M88+январь!M88</f>
        <v>0</v>
      </c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73.272999999999996</v>
      </c>
      <c r="E89" s="57">
        <f>F89+G89</f>
        <v>0</v>
      </c>
      <c r="F89" s="62"/>
      <c r="G89" s="62"/>
      <c r="H89" s="41">
        <f t="shared" si="23"/>
        <v>73.272999999999996</v>
      </c>
      <c r="I89" s="196">
        <f>март!I89+февраль!I89+январь!I89</f>
        <v>73.272999999999996</v>
      </c>
      <c r="J89" s="196">
        <f>март!J89+февраль!J89+январь!J89</f>
        <v>0</v>
      </c>
      <c r="K89" s="41">
        <f t="shared" si="24"/>
        <v>0</v>
      </c>
      <c r="L89" s="62">
        <f>март!L89+февраль!L89+январь!L89</f>
        <v>0</v>
      </c>
      <c r="M89" s="62">
        <f>март!M89+февраль!M89+январь!M89</f>
        <v>0</v>
      </c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814</v>
      </c>
      <c r="E90" s="57">
        <v>0</v>
      </c>
      <c r="F90" s="62"/>
      <c r="G90" s="62"/>
      <c r="H90" s="41">
        <f>I90+J91</f>
        <v>812</v>
      </c>
      <c r="I90" s="196">
        <f>март!I90+февраль!I90+январь!I90</f>
        <v>812</v>
      </c>
      <c r="J90" s="196">
        <f>март!J90+февраль!J90+январь!J90</f>
        <v>0</v>
      </c>
      <c r="K90" s="41">
        <f t="shared" si="24"/>
        <v>2</v>
      </c>
      <c r="L90" s="62">
        <f>март!L90+февраль!L90+январь!L90</f>
        <v>2</v>
      </c>
      <c r="M90" s="62">
        <f>март!M90+февраль!M90+январь!M90</f>
        <v>0</v>
      </c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812.96199999999965</v>
      </c>
      <c r="E91" s="57">
        <f>F91+G91</f>
        <v>0</v>
      </c>
      <c r="F91" s="62"/>
      <c r="G91" s="62"/>
      <c r="H91" s="41">
        <f t="shared" ref="H91:H93" si="31">I91+J92</f>
        <v>811.79999999999961</v>
      </c>
      <c r="I91" s="196">
        <f>март!I91+февраль!I91+январь!I91</f>
        <v>811.79999999999961</v>
      </c>
      <c r="J91" s="196">
        <f>март!J91+февраль!J91+январь!J91</f>
        <v>0</v>
      </c>
      <c r="K91" s="41">
        <f t="shared" si="24"/>
        <v>1.1619999999999999</v>
      </c>
      <c r="L91" s="62">
        <f>март!L91+февраль!L91+январь!L91</f>
        <v>1.1619999999999999</v>
      </c>
      <c r="M91" s="62">
        <f>март!M91+февраль!M91+январь!M91</f>
        <v>0</v>
      </c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17</v>
      </c>
      <c r="E92" s="57">
        <f>F92+G92</f>
        <v>0</v>
      </c>
      <c r="F92" s="62"/>
      <c r="G92" s="62"/>
      <c r="H92" s="41">
        <f t="shared" si="31"/>
        <v>14</v>
      </c>
      <c r="I92" s="196">
        <f>март!I92+февраль!I92+январь!I92</f>
        <v>14</v>
      </c>
      <c r="J92" s="196">
        <f>март!J92+февраль!J92+январь!J92</f>
        <v>0</v>
      </c>
      <c r="K92" s="41">
        <f t="shared" si="24"/>
        <v>3</v>
      </c>
      <c r="L92" s="62">
        <f>март!L92+февраль!L92+январь!L92</f>
        <v>3</v>
      </c>
      <c r="M92" s="62">
        <f>март!M92+февраль!M92+январь!M92</f>
        <v>0</v>
      </c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78.60499999999999</v>
      </c>
      <c r="E93" s="57">
        <f>F93+G93</f>
        <v>0</v>
      </c>
      <c r="F93" s="62"/>
      <c r="G93" s="62"/>
      <c r="H93" s="41">
        <f t="shared" si="31"/>
        <v>69.34899999999999</v>
      </c>
      <c r="I93" s="196">
        <f>март!I93+февраль!I93+январь!I93</f>
        <v>69.34899999999999</v>
      </c>
      <c r="J93" s="196">
        <f>март!J93+февраль!J93+январь!J93</f>
        <v>0</v>
      </c>
      <c r="K93" s="41">
        <f t="shared" si="24"/>
        <v>9.2560000000000002</v>
      </c>
      <c r="L93" s="62">
        <f>март!L93+февраль!L93+январь!L93</f>
        <v>9.2560000000000002</v>
      </c>
      <c r="M93" s="62">
        <f>март!M93+февраль!M93+январь!M93</f>
        <v>0</v>
      </c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0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0</v>
      </c>
      <c r="I94" s="205">
        <f t="shared" si="32"/>
        <v>0</v>
      </c>
      <c r="J94" s="205">
        <f t="shared" si="32"/>
        <v>0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0</v>
      </c>
      <c r="E95" s="57">
        <f>F95+G95</f>
        <v>0</v>
      </c>
      <c r="F95" s="62"/>
      <c r="G95" s="62"/>
      <c r="H95" s="41">
        <f t="shared" si="23"/>
        <v>0</v>
      </c>
      <c r="I95" s="62">
        <f>март!I95+февраль!I95+январь!I95</f>
        <v>0</v>
      </c>
      <c r="J95" s="62">
        <f>март!J95+февраль!J95+январь!J95</f>
        <v>0</v>
      </c>
      <c r="K95" s="41">
        <f t="shared" si="24"/>
        <v>0</v>
      </c>
      <c r="L95" s="62">
        <f>март!L95+февраль!L95+январь!L95</f>
        <v>0</v>
      </c>
      <c r="M95" s="62">
        <f>март!M95+февраль!M95+январь!M95</f>
        <v>0</v>
      </c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>
        <f>март!I96+февраль!I96+январь!I96</f>
        <v>0</v>
      </c>
      <c r="J96" s="62">
        <f>март!J96+февраль!J96+январь!J96</f>
        <v>0</v>
      </c>
      <c r="K96" s="41">
        <f t="shared" si="24"/>
        <v>0</v>
      </c>
      <c r="L96" s="62">
        <f>март!L96+февраль!L96+январь!L96</f>
        <v>0</v>
      </c>
      <c r="M96" s="62">
        <f>март!M96+февраль!M96+январь!M96</f>
        <v>0</v>
      </c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249.72499999999999</v>
      </c>
      <c r="E97" s="211">
        <f>F97+G97</f>
        <v>0</v>
      </c>
      <c r="F97" s="212"/>
      <c r="G97" s="212"/>
      <c r="H97" s="41">
        <f t="shared" si="23"/>
        <v>247.90699999999998</v>
      </c>
      <c r="I97" s="62">
        <f>март!I97+февраль!I97+январь!I97</f>
        <v>247.90699999999998</v>
      </c>
      <c r="J97" s="62">
        <f>март!J97+февраль!J97+январь!J97</f>
        <v>0</v>
      </c>
      <c r="K97" s="41">
        <f t="shared" si="24"/>
        <v>1.8180000000000001</v>
      </c>
      <c r="L97" s="62">
        <f>март!L97+февраль!L97+январь!L97</f>
        <v>1.8180000000000001</v>
      </c>
      <c r="M97" s="62">
        <f>март!M97+февраль!M97+январь!M97</f>
        <v>0</v>
      </c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5854.3485000000001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5573.3639999999996</v>
      </c>
      <c r="I98" s="144">
        <f>I97+I94+I87+I72+I13</f>
        <v>5449.152</v>
      </c>
      <c r="J98" s="144">
        <f>J97+J94+J87+J72+J13</f>
        <v>124.21199999999999</v>
      </c>
      <c r="K98" s="41">
        <f>L98+M98</f>
        <v>280.98450000000003</v>
      </c>
      <c r="L98" s="218">
        <f t="shared" si="33"/>
        <v>280.98450000000003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74794.378499999992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414.185</v>
      </c>
      <c r="E100" s="27"/>
      <c r="F100" s="27"/>
      <c r="G100" s="27"/>
      <c r="H100" s="27"/>
      <c r="I100" s="27">
        <f>H97-I97</f>
        <v>0</v>
      </c>
      <c r="J100" s="27">
        <f>I97+E99</f>
        <v>75042.285499999998</v>
      </c>
      <c r="K100" s="27"/>
      <c r="L100" s="27"/>
      <c r="M100" s="27">
        <f>9567.184-K98</f>
        <v>9286.1994999999988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>
        <f>I147</f>
        <v>3302</v>
      </c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>
        <f>I148</f>
        <v>34.170490000000001</v>
      </c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18">
        <f>январь!I141+февраль!I141+март!I141</f>
        <v>0</v>
      </c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18">
        <f>январь!I142+февраль!I142+март!I142</f>
        <v>0</v>
      </c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18">
        <f>январь!I143+февраль!I143+март!I143</f>
        <v>0</v>
      </c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18">
        <f>январь!I144+февраль!I144+март!I144</f>
        <v>0</v>
      </c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18">
        <f>январь!I145+февраль!I145+март!I145</f>
        <v>0</v>
      </c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18">
        <f>январь!I146+февраль!I146+март!I146</f>
        <v>0</v>
      </c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18">
        <f>январь!I147+февраль!I147+март!I147</f>
        <v>3302</v>
      </c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18">
        <f>январь!I148+февраль!I148+март!I148</f>
        <v>34.170490000000001</v>
      </c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18">
        <f>январь!I149+февраль!I149+март!I149</f>
        <v>0</v>
      </c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18">
        <f>январь!I150+февраль!I150+март!I150</f>
        <v>0</v>
      </c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18">
        <f>январь!I151+февраль!I151+март!I151</f>
        <v>0</v>
      </c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18">
        <f>январь!I152+февраль!I152+март!I152</f>
        <v>0</v>
      </c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18">
        <f>январь!I153+февраль!I153+март!I153</f>
        <v>0</v>
      </c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18">
        <f>январь!I154+февраль!I154+март!I154</f>
        <v>0</v>
      </c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18">
        <f>январь!I155+февраль!I155+март!I155</f>
        <v>0</v>
      </c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18">
        <f>январь!I156+февраль!I156+март!I156</f>
        <v>0</v>
      </c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206</v>
      </c>
      <c r="B157" s="5"/>
      <c r="C157" s="5"/>
      <c r="D157" s="5"/>
      <c r="E157" s="5"/>
    </row>
    <row r="158" spans="1:24" s="6" customFormat="1">
      <c r="A158" s="1748" t="s">
        <v>207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/>
      <c r="B160" s="5"/>
      <c r="C160" s="5"/>
      <c r="D160" s="5"/>
      <c r="E160" s="5"/>
    </row>
    <row r="163" ht="6" customHeight="1"/>
  </sheetData>
  <mergeCells count="22">
    <mergeCell ref="A7:M7"/>
    <mergeCell ref="T2:X2"/>
    <mergeCell ref="T3:X3"/>
    <mergeCell ref="T4:X4"/>
    <mergeCell ref="T5:X5"/>
    <mergeCell ref="T6:X6"/>
    <mergeCell ref="A158:D158"/>
    <mergeCell ref="A14:A16"/>
    <mergeCell ref="A101:T101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63"/>
  <sheetViews>
    <sheetView topLeftCell="A7" zoomScale="80" zoomScaleNormal="80" workbookViewId="0">
      <selection activeCell="L16" sqref="L16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1.85546875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210</v>
      </c>
      <c r="U6" s="1755"/>
      <c r="V6" s="1755"/>
      <c r="W6" s="1755"/>
      <c r="X6" s="1755"/>
    </row>
    <row r="7" spans="1:27" ht="53.25" customHeight="1">
      <c r="A7" s="1754" t="s">
        <v>284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420" t="s">
        <v>190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30"/>
      <c r="P8" s="420"/>
      <c r="Q8" s="420"/>
      <c r="R8" s="420"/>
      <c r="S8" s="420"/>
      <c r="T8" s="420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2411.5720000000001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2249.8980000000001</v>
      </c>
      <c r="I13" s="41">
        <f>I16+I23+I34+I36+I39+I41+I43+I45+I47+I49+I51+I53+I55+I57+I59+I61+I63+I65+I67+I69+I71</f>
        <v>1662.0340000000001</v>
      </c>
      <c r="J13" s="41">
        <f>J16+J23+J34+J36+J39+J41+J43+J45+J47+J49+J51+J53+J55+J57+J59+J61+J63+J65+J67+J69+J71</f>
        <v>587.86399999999992</v>
      </c>
      <c r="K13" s="41">
        <f>L13+M13</f>
        <v>161.67400000000001</v>
      </c>
      <c r="L13" s="41">
        <f>L16+L23+L34+L36+L39+L41+L43+L45+L47+L49+L51+L53+L55+L57+L59+L61+L63+L65+L67+L69+L71</f>
        <v>161.67400000000001</v>
      </c>
      <c r="M13" s="41">
        <f>M16+M23+M34+M36+M39+M41+M43+M45+M47+M49+M51+M53+M55+M57+M59+M61+M63+M65+M67+M69+M71</f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13</v>
      </c>
      <c r="E14" s="46"/>
      <c r="F14" s="46"/>
      <c r="G14" s="47"/>
      <c r="H14" s="48">
        <f t="shared" ref="H14:H77" si="1">I14+J14</f>
        <v>12</v>
      </c>
      <c r="I14" s="16">
        <f>июнь!I14+май!I14+апрель!I14</f>
        <v>12</v>
      </c>
      <c r="J14" s="16">
        <f>июнь!J14+май!J14+апрель!J14</f>
        <v>0</v>
      </c>
      <c r="K14" s="49">
        <f t="shared" ref="K14:K77" si="2">L14+M14</f>
        <v>1</v>
      </c>
      <c r="L14" s="16">
        <f>июнь!L14+май!L14+апрель!L14</f>
        <v>1</v>
      </c>
      <c r="M14" s="16">
        <f>июнь!M14+май!M14+апрель!M14</f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7.6729999999999993E-2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6.7729999999999999E-2</v>
      </c>
      <c r="I15" s="18">
        <f>I17+I19</f>
        <v>6.7729999999999999E-2</v>
      </c>
      <c r="J15" s="18">
        <f>J17+J19</f>
        <v>0</v>
      </c>
      <c r="K15" s="49">
        <f t="shared" si="2"/>
        <v>8.9999999999999993E-3</v>
      </c>
      <c r="L15" s="18">
        <f>L17+L19</f>
        <v>8.9999999999999993E-3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69.76700000000001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67.092000000000013</v>
      </c>
      <c r="I16" s="18">
        <f>I18+I20+I21</f>
        <v>67.092000000000013</v>
      </c>
      <c r="J16" s="18">
        <f>J18+J20+J21</f>
        <v>0</v>
      </c>
      <c r="K16" s="49">
        <f t="shared" si="2"/>
        <v>2.6749999999999998</v>
      </c>
      <c r="L16" s="18">
        <f>L18+L20+L21</f>
        <v>2.6749999999999998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2.3899999999999998E-2</v>
      </c>
      <c r="E17" s="57">
        <f>F17+G17</f>
        <v>0</v>
      </c>
      <c r="F17" s="62"/>
      <c r="G17" s="63"/>
      <c r="H17" s="48">
        <f t="shared" si="1"/>
        <v>2.3899999999999998E-2</v>
      </c>
      <c r="I17" s="261">
        <f>июнь!I17+май!I17+апрель!I17</f>
        <v>2.3899999999999998E-2</v>
      </c>
      <c r="J17" s="261">
        <f>июнь!J17+май!J17+апрель!J17</f>
        <v>0</v>
      </c>
      <c r="K17" s="49">
        <f t="shared" si="2"/>
        <v>0</v>
      </c>
      <c r="L17" s="20">
        <f>июнь!L17+май!L17+апрель!L17</f>
        <v>0</v>
      </c>
      <c r="M17" s="20">
        <f>июнь!M17+май!M17+апрель!M17</f>
        <v>0</v>
      </c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48.088000000000008</v>
      </c>
      <c r="E18" s="57">
        <f>F18+G18</f>
        <v>0</v>
      </c>
      <c r="F18" s="62"/>
      <c r="G18" s="63"/>
      <c r="H18" s="48">
        <f t="shared" si="1"/>
        <v>48.088000000000008</v>
      </c>
      <c r="I18" s="261">
        <f>июнь!I18+май!I18+апрель!I18</f>
        <v>48.088000000000008</v>
      </c>
      <c r="J18" s="261">
        <f>июнь!J18+май!J18+апрель!J18</f>
        <v>0</v>
      </c>
      <c r="K18" s="49">
        <f t="shared" si="2"/>
        <v>0</v>
      </c>
      <c r="L18" s="20">
        <f>июнь!L18+май!L18+апрель!L18</f>
        <v>0</v>
      </c>
      <c r="M18" s="20">
        <f>июнь!M18+май!M18+апрель!M18</f>
        <v>0</v>
      </c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5.2830000000000002E-2</v>
      </c>
      <c r="E19" s="57">
        <f>F19+G19</f>
        <v>0</v>
      </c>
      <c r="F19" s="62"/>
      <c r="G19" s="63"/>
      <c r="H19" s="48">
        <f t="shared" si="1"/>
        <v>4.3830000000000001E-2</v>
      </c>
      <c r="I19" s="261">
        <f>июнь!I19+май!I19+апрель!I19</f>
        <v>4.3830000000000001E-2</v>
      </c>
      <c r="J19" s="261">
        <f>июнь!J19+май!J19+апрель!J19</f>
        <v>0</v>
      </c>
      <c r="K19" s="49">
        <f t="shared" si="2"/>
        <v>8.9999999999999993E-3</v>
      </c>
      <c r="L19" s="20">
        <f>июнь!L19+май!L19+апрель!L19</f>
        <v>8.9999999999999993E-3</v>
      </c>
      <c r="M19" s="20">
        <f>июнь!M19+май!M19+апрель!M19</f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21.678999999999998</v>
      </c>
      <c r="E20" s="72">
        <f>F20+G20</f>
        <v>0</v>
      </c>
      <c r="F20" s="73"/>
      <c r="G20" s="74"/>
      <c r="H20" s="48">
        <f t="shared" si="1"/>
        <v>19.003999999999998</v>
      </c>
      <c r="I20" s="261">
        <f>июнь!I20+май!I20+апрель!I20</f>
        <v>19.003999999999998</v>
      </c>
      <c r="J20" s="261">
        <f>июнь!J20+май!J20+апрель!J20</f>
        <v>0</v>
      </c>
      <c r="K20" s="49">
        <f t="shared" si="2"/>
        <v>2.6749999999999998</v>
      </c>
      <c r="L20" s="20">
        <f>июнь!L20+май!L20+апрель!L20</f>
        <v>2.6749999999999998</v>
      </c>
      <c r="M20" s="20">
        <f>июнь!M20+май!M20+апрель!M20</f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61">
        <f>июнь!I21+май!I21+апрель!I21</f>
        <v>0</v>
      </c>
      <c r="J21" s="261">
        <f>июнь!J21+май!J21+апрель!J21</f>
        <v>0</v>
      </c>
      <c r="K21" s="49">
        <f t="shared" si="2"/>
        <v>0</v>
      </c>
      <c r="L21" s="20">
        <f>июнь!L21+май!L21+апрель!L21</f>
        <v>0</v>
      </c>
      <c r="M21" s="20">
        <f>июнь!M21+май!M21+апрель!M21</f>
        <v>0</v>
      </c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0</v>
      </c>
      <c r="E22" s="85"/>
      <c r="F22" s="86"/>
      <c r="G22" s="87"/>
      <c r="H22" s="41">
        <f t="shared" si="1"/>
        <v>0</v>
      </c>
      <c r="I22" s="86"/>
      <c r="J22" s="86"/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0</v>
      </c>
      <c r="E23" s="94"/>
      <c r="F23" s="95"/>
      <c r="G23" s="96"/>
      <c r="H23" s="41">
        <f t="shared" si="1"/>
        <v>0</v>
      </c>
      <c r="I23" s="95">
        <f>I25+I27+I29+I31+I32</f>
        <v>0</v>
      </c>
      <c r="J23" s="95">
        <f>J25+J27+J29+J31+J32</f>
        <v>0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0</v>
      </c>
      <c r="E24" s="57"/>
      <c r="F24" s="62"/>
      <c r="G24" s="63"/>
      <c r="H24" s="41">
        <f t="shared" si="1"/>
        <v>0</v>
      </c>
      <c r="I24" s="101"/>
      <c r="J24" s="101"/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0</v>
      </c>
      <c r="E25" s="57"/>
      <c r="F25" s="62"/>
      <c r="G25" s="63"/>
      <c r="H25" s="41">
        <f t="shared" si="1"/>
        <v>0</v>
      </c>
      <c r="I25" s="101"/>
      <c r="J25" s="101"/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0</v>
      </c>
      <c r="E26" s="57"/>
      <c r="F26" s="62"/>
      <c r="G26" s="63"/>
      <c r="H26" s="41">
        <f t="shared" si="1"/>
        <v>0</v>
      </c>
      <c r="I26" s="101"/>
      <c r="J26" s="101"/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0</v>
      </c>
      <c r="E27" s="57"/>
      <c r="F27" s="62"/>
      <c r="G27" s="63"/>
      <c r="H27" s="41">
        <f t="shared" si="1"/>
        <v>0</v>
      </c>
      <c r="I27" s="101"/>
      <c r="J27" s="101"/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/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/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/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/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0</v>
      </c>
      <c r="E32" s="57"/>
      <c r="F32" s="62"/>
      <c r="G32" s="63"/>
      <c r="H32" s="41">
        <f t="shared" si="1"/>
        <v>0</v>
      </c>
      <c r="I32" s="101"/>
      <c r="J32" s="101"/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1.1016000000000001</v>
      </c>
      <c r="E33" s="57">
        <f t="shared" ref="E33:E39" si="9">F33+G33</f>
        <v>0</v>
      </c>
      <c r="F33" s="62"/>
      <c r="G33" s="63"/>
      <c r="H33" s="41">
        <f t="shared" si="1"/>
        <v>0.78960000000000008</v>
      </c>
      <c r="I33" s="62">
        <f>июнь!I33+май!I33+апрель!I33</f>
        <v>0.78960000000000008</v>
      </c>
      <c r="J33" s="62">
        <f>июнь!J33+май!J33+апрель!J33</f>
        <v>0</v>
      </c>
      <c r="K33" s="41">
        <f t="shared" si="2"/>
        <v>0.31200000000000006</v>
      </c>
      <c r="L33" s="62">
        <f>июнь!L33+май!L33+апрель!L33</f>
        <v>0.31200000000000006</v>
      </c>
      <c r="M33" s="62">
        <f>июнь!M33+май!M33+апрель!M33</f>
        <v>0</v>
      </c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566.71399999999994</v>
      </c>
      <c r="E34" s="57">
        <f t="shared" si="9"/>
        <v>0</v>
      </c>
      <c r="F34" s="62"/>
      <c r="G34" s="63"/>
      <c r="H34" s="41">
        <f t="shared" si="1"/>
        <v>421.05599999999998</v>
      </c>
      <c r="I34" s="62">
        <f>июнь!I34+май!I34+апрель!I34</f>
        <v>421.05599999999998</v>
      </c>
      <c r="J34" s="62">
        <f>июнь!J34+май!J34+апрель!J34</f>
        <v>0</v>
      </c>
      <c r="K34" s="41">
        <f t="shared" si="2"/>
        <v>145.65800000000002</v>
      </c>
      <c r="L34" s="62">
        <f>июнь!L34+май!L34+апрель!L34</f>
        <v>145.65800000000002</v>
      </c>
      <c r="M34" s="62">
        <f>июнь!M34+май!M34+апрель!M34</f>
        <v>0</v>
      </c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0.15600000000000003</v>
      </c>
      <c r="E35" s="57">
        <f t="shared" si="9"/>
        <v>0</v>
      </c>
      <c r="F35" s="62"/>
      <c r="G35" s="63"/>
      <c r="H35" s="41">
        <f t="shared" si="1"/>
        <v>0.15600000000000003</v>
      </c>
      <c r="I35" s="62">
        <f>июнь!I35+май!I35+апрель!I35</f>
        <v>0.15600000000000003</v>
      </c>
      <c r="J35" s="62">
        <f>июнь!J35+май!J35+апрель!J35</f>
        <v>0</v>
      </c>
      <c r="K35" s="41">
        <f t="shared" si="2"/>
        <v>0</v>
      </c>
      <c r="L35" s="62">
        <f>июнь!L35+май!L35+апрель!L35</f>
        <v>0</v>
      </c>
      <c r="M35" s="62">
        <f>июнь!M35+май!M35+апрель!M35</f>
        <v>0</v>
      </c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201.35799999999998</v>
      </c>
      <c r="E36" s="57">
        <f t="shared" si="9"/>
        <v>0</v>
      </c>
      <c r="F36" s="62"/>
      <c r="G36" s="63"/>
      <c r="H36" s="41">
        <f t="shared" si="1"/>
        <v>201.35799999999998</v>
      </c>
      <c r="I36" s="62">
        <f>июнь!I36+май!I36+апрель!I36</f>
        <v>201.35799999999998</v>
      </c>
      <c r="J36" s="62">
        <f>июнь!J36+май!J36+апрель!J36</f>
        <v>0</v>
      </c>
      <c r="K36" s="41">
        <f t="shared" si="2"/>
        <v>0</v>
      </c>
      <c r="L36" s="62">
        <f>июнь!L36+май!L36+апрель!L36</f>
        <v>0</v>
      </c>
      <c r="M36" s="62">
        <f>июнь!M36+май!M36+апрель!M36</f>
        <v>0</v>
      </c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2.0868000000000002</v>
      </c>
      <c r="E37" s="57">
        <f t="shared" si="9"/>
        <v>0</v>
      </c>
      <c r="F37" s="62"/>
      <c r="G37" s="63"/>
      <c r="H37" s="41">
        <f t="shared" si="1"/>
        <v>2.0868000000000002</v>
      </c>
      <c r="I37" s="62">
        <f>июнь!I37+май!I37+апрель!I37</f>
        <v>2.0868000000000002</v>
      </c>
      <c r="J37" s="62">
        <f>июнь!J37+май!J37+апрель!J37</f>
        <v>0</v>
      </c>
      <c r="K37" s="41">
        <f t="shared" si="2"/>
        <v>0</v>
      </c>
      <c r="L37" s="62">
        <f>июнь!L37+май!L37+апрель!L37</f>
        <v>0</v>
      </c>
      <c r="M37" s="62">
        <f>июнь!M37+май!M37+апрель!M37</f>
        <v>0</v>
      </c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5</v>
      </c>
      <c r="E38" s="57">
        <f t="shared" si="9"/>
        <v>0</v>
      </c>
      <c r="F38" s="62"/>
      <c r="G38" s="63"/>
      <c r="H38" s="41">
        <f t="shared" si="1"/>
        <v>5</v>
      </c>
      <c r="I38" s="62">
        <f>июнь!I38+май!I38+апрель!I38</f>
        <v>5</v>
      </c>
      <c r="J38" s="62">
        <f>июнь!J38+май!J38+апрель!J38</f>
        <v>0</v>
      </c>
      <c r="K38" s="41">
        <f t="shared" si="2"/>
        <v>0</v>
      </c>
      <c r="L38" s="62">
        <f>июнь!L38+май!L38+апрель!L38</f>
        <v>0</v>
      </c>
      <c r="M38" s="62">
        <f>июнь!M38+май!M38+апрель!M38</f>
        <v>0</v>
      </c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657.05199999999991</v>
      </c>
      <c r="E39" s="72">
        <f t="shared" si="9"/>
        <v>0</v>
      </c>
      <c r="F39" s="73"/>
      <c r="G39" s="74"/>
      <c r="H39" s="41">
        <f t="shared" si="1"/>
        <v>657.05199999999991</v>
      </c>
      <c r="I39" s="62">
        <f>июнь!I39+май!I39+апрель!I39</f>
        <v>657.05199999999991</v>
      </c>
      <c r="J39" s="62">
        <f>июнь!J39+май!J39+апрель!J39</f>
        <v>0</v>
      </c>
      <c r="K39" s="41">
        <f t="shared" si="2"/>
        <v>0</v>
      </c>
      <c r="L39" s="62">
        <f>июнь!L39+май!L39+апрель!L39</f>
        <v>0</v>
      </c>
      <c r="M39" s="62">
        <f>июнь!M39+май!M39+апрель!M39</f>
        <v>0</v>
      </c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0.01</v>
      </c>
      <c r="E40" s="123"/>
      <c r="F40" s="133"/>
      <c r="G40" s="134"/>
      <c r="H40" s="41">
        <f t="shared" si="1"/>
        <v>0.01</v>
      </c>
      <c r="I40" s="62">
        <f>июнь!I40+май!I40+апрель!I40</f>
        <v>0.01</v>
      </c>
      <c r="J40" s="62">
        <f>июнь!J40+май!J40+апрель!J40</f>
        <v>0</v>
      </c>
      <c r="K40" s="41">
        <f t="shared" si="2"/>
        <v>0</v>
      </c>
      <c r="L40" s="62">
        <f>июнь!L40+май!L40+апрель!L40</f>
        <v>0</v>
      </c>
      <c r="M40" s="62">
        <f>июнь!M40+май!M40+апрель!M40</f>
        <v>0</v>
      </c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1.365</v>
      </c>
      <c r="E41" s="121"/>
      <c r="F41" s="141"/>
      <c r="G41" s="142"/>
      <c r="H41" s="41">
        <f t="shared" si="1"/>
        <v>1.365</v>
      </c>
      <c r="I41" s="62">
        <f>июнь!I41+май!I41+апрель!I41</f>
        <v>1.365</v>
      </c>
      <c r="J41" s="62">
        <f>июнь!J41+май!J41+апрель!J41</f>
        <v>0</v>
      </c>
      <c r="K41" s="41">
        <f t="shared" si="2"/>
        <v>0</v>
      </c>
      <c r="L41" s="62">
        <f>июнь!L41+май!L41+апрель!L41</f>
        <v>0</v>
      </c>
      <c r="M41" s="62">
        <f>июнь!M41+май!M41+апрель!M41</f>
        <v>0</v>
      </c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8.4375000000000006E-2</v>
      </c>
      <c r="E42" s="123"/>
      <c r="F42" s="133"/>
      <c r="G42" s="134"/>
      <c r="H42" s="41">
        <f t="shared" si="1"/>
        <v>8.4375000000000006E-2</v>
      </c>
      <c r="I42" s="62">
        <f>июнь!I42+май!I42+апрель!I42</f>
        <v>8.4375000000000006E-2</v>
      </c>
      <c r="J42" s="62">
        <f>июнь!J42+май!J42+апрель!J42</f>
        <v>0</v>
      </c>
      <c r="K42" s="41">
        <f t="shared" si="2"/>
        <v>0</v>
      </c>
      <c r="L42" s="62">
        <f>июнь!L42+май!L42+апрель!L42</f>
        <v>0</v>
      </c>
      <c r="M42" s="62">
        <f>июнь!M42+май!M42+апрель!M42</f>
        <v>0</v>
      </c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64.363</v>
      </c>
      <c r="E43" s="121"/>
      <c r="F43" s="141"/>
      <c r="G43" s="142"/>
      <c r="H43" s="41">
        <f t="shared" si="1"/>
        <v>64.363</v>
      </c>
      <c r="I43" s="62">
        <f>июнь!I43+май!I43+апрель!I43</f>
        <v>64.363</v>
      </c>
      <c r="J43" s="62">
        <f>июнь!J43+май!J43+апрель!J43</f>
        <v>0</v>
      </c>
      <c r="K43" s="41">
        <f t="shared" si="2"/>
        <v>0</v>
      </c>
      <c r="L43" s="62">
        <f>июнь!L43+май!L43+апрель!L43</f>
        <v>0</v>
      </c>
      <c r="M43" s="62">
        <f>июнь!M43+май!M43+апрель!M43</f>
        <v>0</v>
      </c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29</v>
      </c>
      <c r="E44" s="57">
        <f t="shared" ref="E44:E59" si="11">F44+G44</f>
        <v>0</v>
      </c>
      <c r="F44" s="62"/>
      <c r="G44" s="63"/>
      <c r="H44" s="41">
        <f t="shared" si="1"/>
        <v>29</v>
      </c>
      <c r="I44" s="62">
        <f>июнь!I44+май!I44+апрель!I44</f>
        <v>29</v>
      </c>
      <c r="J44" s="62">
        <f>июнь!J44+май!J44+апрель!J44</f>
        <v>0</v>
      </c>
      <c r="K44" s="41">
        <f t="shared" si="2"/>
        <v>0</v>
      </c>
      <c r="L44" s="62">
        <f>июнь!L44+май!L44+апрель!L44</f>
        <v>0</v>
      </c>
      <c r="M44" s="62">
        <f>июнь!M44+май!M44+апрель!M44</f>
        <v>0</v>
      </c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37.327000000000005</v>
      </c>
      <c r="E45" s="57">
        <f t="shared" si="11"/>
        <v>0</v>
      </c>
      <c r="F45" s="62"/>
      <c r="G45" s="63"/>
      <c r="H45" s="41">
        <f t="shared" si="1"/>
        <v>37.327000000000005</v>
      </c>
      <c r="I45" s="62">
        <f>июнь!I45+май!I45+апрель!I45</f>
        <v>37.327000000000005</v>
      </c>
      <c r="J45" s="62">
        <f>июнь!J45+май!J45+апрель!J45</f>
        <v>0</v>
      </c>
      <c r="K45" s="41">
        <f t="shared" si="2"/>
        <v>0</v>
      </c>
      <c r="L45" s="62">
        <f>июнь!L45+май!L45+апрель!L45</f>
        <v>0</v>
      </c>
      <c r="M45" s="62">
        <f>июнь!M45+май!M45+апрель!M45</f>
        <v>0</v>
      </c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>
        <f>июнь!I46+май!I46+апрель!I46</f>
        <v>0</v>
      </c>
      <c r="J46" s="62">
        <f>июнь!J46+май!J46+апрель!J46</f>
        <v>0</v>
      </c>
      <c r="K46" s="41">
        <f t="shared" si="2"/>
        <v>0</v>
      </c>
      <c r="L46" s="62">
        <f>июнь!L46+май!L46+апрель!L46</f>
        <v>0</v>
      </c>
      <c r="M46" s="62">
        <f>июнь!M46+май!M46+апрель!M46</f>
        <v>0</v>
      </c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>
        <f>июнь!I47+май!I47+апрель!I47</f>
        <v>0</v>
      </c>
      <c r="J47" s="62">
        <f>июнь!J47+май!J47+апрель!J47</f>
        <v>0</v>
      </c>
      <c r="K47" s="41">
        <f t="shared" si="2"/>
        <v>0</v>
      </c>
      <c r="L47" s="62">
        <f>июнь!L47+май!L47+апрель!L47</f>
        <v>0</v>
      </c>
      <c r="M47" s="62">
        <f>июнь!M47+май!M47+апрель!M47</f>
        <v>0</v>
      </c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0</v>
      </c>
      <c r="E48" s="57">
        <f t="shared" si="11"/>
        <v>0</v>
      </c>
      <c r="F48" s="62"/>
      <c r="G48" s="63"/>
      <c r="H48" s="41">
        <f t="shared" si="1"/>
        <v>0</v>
      </c>
      <c r="I48" s="62">
        <f>июнь!I48+май!I48+апрель!I48</f>
        <v>0</v>
      </c>
      <c r="J48" s="62">
        <f>июнь!J48+май!J48+апрель!J48</f>
        <v>0</v>
      </c>
      <c r="K48" s="41">
        <f t="shared" si="2"/>
        <v>0</v>
      </c>
      <c r="L48" s="62">
        <f>июнь!L48+май!L48+апрель!L48</f>
        <v>0</v>
      </c>
      <c r="M48" s="62">
        <f>июнь!M48+май!M48+апрель!M48</f>
        <v>0</v>
      </c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0</v>
      </c>
      <c r="E49" s="57">
        <f t="shared" si="11"/>
        <v>0</v>
      </c>
      <c r="F49" s="62"/>
      <c r="G49" s="63"/>
      <c r="H49" s="41">
        <f t="shared" si="1"/>
        <v>0</v>
      </c>
      <c r="I49" s="62">
        <f>июнь!I49+май!I49+апрель!I49</f>
        <v>0</v>
      </c>
      <c r="J49" s="62">
        <f>июнь!J49+май!J49+апрель!J49</f>
        <v>0</v>
      </c>
      <c r="K49" s="41">
        <f t="shared" si="2"/>
        <v>0</v>
      </c>
      <c r="L49" s="62">
        <f>июнь!L49+май!L49+апрель!L49</f>
        <v>0</v>
      </c>
      <c r="M49" s="62">
        <f>июнь!M49+май!M49+апрель!M49</f>
        <v>0</v>
      </c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30</v>
      </c>
      <c r="E50" s="57">
        <f t="shared" si="11"/>
        <v>0</v>
      </c>
      <c r="F50" s="62"/>
      <c r="G50" s="63"/>
      <c r="H50" s="41">
        <f t="shared" si="1"/>
        <v>27</v>
      </c>
      <c r="I50" s="62">
        <f>июнь!I50+май!I50+апрель!I50</f>
        <v>19</v>
      </c>
      <c r="J50" s="62">
        <f>июнь!J50+май!J50+апрель!J50</f>
        <v>8</v>
      </c>
      <c r="K50" s="41">
        <f t="shared" si="2"/>
        <v>3</v>
      </c>
      <c r="L50" s="62">
        <f>июнь!L50+май!L50+апрель!L50</f>
        <v>3</v>
      </c>
      <c r="M50" s="62">
        <f>июнь!M50+май!M50+апрель!M50</f>
        <v>0</v>
      </c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627.48500000000001</v>
      </c>
      <c r="E51" s="57">
        <f t="shared" si="11"/>
        <v>0</v>
      </c>
      <c r="F51" s="62"/>
      <c r="G51" s="63"/>
      <c r="H51" s="41">
        <f t="shared" si="1"/>
        <v>624.01099999999997</v>
      </c>
      <c r="I51" s="62">
        <f>июнь!I51+май!I51+апрель!I51</f>
        <v>66.046999999999997</v>
      </c>
      <c r="J51" s="62">
        <f>июнь!J51+май!J51+апрель!J51</f>
        <v>557.96399999999994</v>
      </c>
      <c r="K51" s="41">
        <f t="shared" si="2"/>
        <v>3.4740000000000002</v>
      </c>
      <c r="L51" s="62">
        <f>июнь!L51+май!L51+апрель!L51</f>
        <v>3.4740000000000002</v>
      </c>
      <c r="M51" s="62">
        <f>июнь!M51+май!M51+апрель!M51</f>
        <v>0</v>
      </c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14</v>
      </c>
      <c r="E52" s="57">
        <f t="shared" si="11"/>
        <v>0</v>
      </c>
      <c r="F52" s="62"/>
      <c r="G52" s="63"/>
      <c r="H52" s="41">
        <f t="shared" si="1"/>
        <v>13</v>
      </c>
      <c r="I52" s="62">
        <f>июнь!I52+май!I52+апрель!I52</f>
        <v>12</v>
      </c>
      <c r="J52" s="62">
        <f>июнь!J52+май!J52+апрель!J52</f>
        <v>1</v>
      </c>
      <c r="K52" s="41">
        <f t="shared" si="2"/>
        <v>1</v>
      </c>
      <c r="L52" s="62">
        <f>июнь!L52+май!L52+апрель!L52</f>
        <v>1</v>
      </c>
      <c r="M52" s="62">
        <f>июнь!M52+май!M52+апрель!M52</f>
        <v>0</v>
      </c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179.43100000000001</v>
      </c>
      <c r="E53" s="57">
        <f t="shared" si="11"/>
        <v>0</v>
      </c>
      <c r="F53" s="62"/>
      <c r="G53" s="63"/>
      <c r="H53" s="41">
        <f t="shared" si="1"/>
        <v>169.56400000000002</v>
      </c>
      <c r="I53" s="62">
        <f>июнь!I53+май!I53+апрель!I53</f>
        <v>139.66400000000002</v>
      </c>
      <c r="J53" s="62">
        <f>июнь!J53+май!J53+апрель!J53</f>
        <v>29.9</v>
      </c>
      <c r="K53" s="41">
        <f t="shared" si="2"/>
        <v>9.8670000000000009</v>
      </c>
      <c r="L53" s="62">
        <f>июнь!L53+май!L53+апрель!L53</f>
        <v>9.8670000000000009</v>
      </c>
      <c r="M53" s="62">
        <f>июнь!M53+май!M53+апрель!M53</f>
        <v>0</v>
      </c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6</v>
      </c>
      <c r="E54" s="57">
        <f t="shared" si="11"/>
        <v>0</v>
      </c>
      <c r="F54" s="62"/>
      <c r="G54" s="63"/>
      <c r="H54" s="41">
        <f t="shared" si="1"/>
        <v>6</v>
      </c>
      <c r="I54" s="62">
        <f>июнь!I54+май!I54+апрель!I54</f>
        <v>6</v>
      </c>
      <c r="J54" s="62">
        <f>июнь!J54+май!J54+апрель!J54</f>
        <v>0</v>
      </c>
      <c r="K54" s="41">
        <f t="shared" si="2"/>
        <v>0</v>
      </c>
      <c r="L54" s="62">
        <f>июнь!L54+май!L54+апрель!L54</f>
        <v>0</v>
      </c>
      <c r="M54" s="62">
        <f>июнь!M54+май!M54+апрель!M54</f>
        <v>0</v>
      </c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4.1850000000000005</v>
      </c>
      <c r="E55" s="57">
        <f t="shared" si="11"/>
        <v>0</v>
      </c>
      <c r="F55" s="62"/>
      <c r="G55" s="63"/>
      <c r="H55" s="41">
        <f t="shared" si="1"/>
        <v>4.1850000000000005</v>
      </c>
      <c r="I55" s="62">
        <f>июнь!I55+май!I55+апрель!I55</f>
        <v>4.1850000000000005</v>
      </c>
      <c r="J55" s="62">
        <f>июнь!J55+май!J55+апрель!J55</f>
        <v>0</v>
      </c>
      <c r="K55" s="41">
        <f t="shared" si="2"/>
        <v>0</v>
      </c>
      <c r="L55" s="62">
        <f>июнь!L55+май!L55+апрель!L55</f>
        <v>0</v>
      </c>
      <c r="M55" s="62">
        <f>июнь!M55+май!M55+апрель!M55</f>
        <v>0</v>
      </c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0</v>
      </c>
      <c r="E56" s="57">
        <f t="shared" si="11"/>
        <v>0</v>
      </c>
      <c r="F56" s="62"/>
      <c r="G56" s="63"/>
      <c r="H56" s="41">
        <f t="shared" si="1"/>
        <v>0</v>
      </c>
      <c r="I56" s="62">
        <f>июнь!I56+май!I56+апрель!I56</f>
        <v>0</v>
      </c>
      <c r="J56" s="62">
        <f>июнь!J56+май!J56+апрель!J56</f>
        <v>0</v>
      </c>
      <c r="K56" s="41">
        <f t="shared" si="2"/>
        <v>0</v>
      </c>
      <c r="L56" s="62">
        <f>июнь!L56+май!L56+апрель!L56</f>
        <v>0</v>
      </c>
      <c r="M56" s="62">
        <f>июнь!M56+май!M56+апрель!M56</f>
        <v>0</v>
      </c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0</v>
      </c>
      <c r="E57" s="57">
        <f t="shared" si="11"/>
        <v>0</v>
      </c>
      <c r="F57" s="62"/>
      <c r="G57" s="63"/>
      <c r="H57" s="41">
        <f t="shared" si="1"/>
        <v>0</v>
      </c>
      <c r="I57" s="62">
        <f>июнь!I57+май!I57+апрель!I57</f>
        <v>0</v>
      </c>
      <c r="J57" s="62">
        <f>июнь!J57+май!J57+апрель!J57</f>
        <v>0</v>
      </c>
      <c r="K57" s="41">
        <f t="shared" si="2"/>
        <v>0</v>
      </c>
      <c r="L57" s="62">
        <f>июнь!L57+май!L57+апрель!L57</f>
        <v>0</v>
      </c>
      <c r="M57" s="62">
        <f>июнь!M57+май!M57+апрель!M57</f>
        <v>0</v>
      </c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1</v>
      </c>
      <c r="E58" s="57">
        <f t="shared" si="11"/>
        <v>0</v>
      </c>
      <c r="F58" s="62"/>
      <c r="G58" s="63"/>
      <c r="H58" s="41">
        <f t="shared" si="1"/>
        <v>1</v>
      </c>
      <c r="I58" s="62">
        <f>июнь!I58+май!I58+апрель!I58</f>
        <v>1</v>
      </c>
      <c r="J58" s="62">
        <f>июнь!J58+май!J58+апрель!J58</f>
        <v>0</v>
      </c>
      <c r="K58" s="41">
        <f t="shared" si="2"/>
        <v>0</v>
      </c>
      <c r="L58" s="62">
        <f>июнь!L58+май!L58+апрель!L58</f>
        <v>0</v>
      </c>
      <c r="M58" s="62">
        <f>июнь!M58+май!M58+апрель!M58</f>
        <v>0</v>
      </c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0.23100000000000001</v>
      </c>
      <c r="E59" s="72">
        <f t="shared" si="11"/>
        <v>0</v>
      </c>
      <c r="F59" s="73"/>
      <c r="G59" s="74"/>
      <c r="H59" s="41">
        <f t="shared" si="1"/>
        <v>0.23100000000000001</v>
      </c>
      <c r="I59" s="62">
        <f>июнь!I59+май!I59+апрель!I59</f>
        <v>0.23100000000000001</v>
      </c>
      <c r="J59" s="62">
        <f>июнь!J59+май!J59+апрель!J59</f>
        <v>0</v>
      </c>
      <c r="K59" s="41">
        <f t="shared" si="2"/>
        <v>0</v>
      </c>
      <c r="L59" s="62">
        <f>июнь!L59+май!L59+апрель!L59</f>
        <v>0</v>
      </c>
      <c r="M59" s="62">
        <f>июнь!M59+май!M59+апрель!M59</f>
        <v>0</v>
      </c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>
        <f>июнь!I60+май!I60+апрель!I60</f>
        <v>0</v>
      </c>
      <c r="J60" s="62">
        <f>июнь!J60+май!J60+апрель!J60</f>
        <v>0</v>
      </c>
      <c r="K60" s="41">
        <f t="shared" si="2"/>
        <v>0</v>
      </c>
      <c r="L60" s="62">
        <f>июнь!L60+май!L60+апрель!L60</f>
        <v>0</v>
      </c>
      <c r="M60" s="62">
        <f>июнь!M60+май!M60+апрель!M60</f>
        <v>0</v>
      </c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>
        <f>июнь!I61+май!I61+апрель!I61</f>
        <v>0</v>
      </c>
      <c r="J61" s="62">
        <f>июнь!J61+май!J61+апрель!J61</f>
        <v>0</v>
      </c>
      <c r="K61" s="41">
        <f t="shared" si="2"/>
        <v>0</v>
      </c>
      <c r="L61" s="62">
        <f>июнь!L61+май!L61+апрель!L61</f>
        <v>0</v>
      </c>
      <c r="M61" s="62">
        <f>июнь!M61+май!M61+апрель!M61</f>
        <v>0</v>
      </c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>
        <f>июнь!I62+май!I62+апрель!I62</f>
        <v>0</v>
      </c>
      <c r="J62" s="62">
        <f>июнь!J62+май!J62+апрель!J62</f>
        <v>0</v>
      </c>
      <c r="K62" s="41">
        <f t="shared" si="2"/>
        <v>0</v>
      </c>
      <c r="L62" s="62">
        <f>июнь!L62+май!L62+апрель!L62</f>
        <v>0</v>
      </c>
      <c r="M62" s="62">
        <f>июнь!M62+май!M62+апрель!M62</f>
        <v>0</v>
      </c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>
        <f>июнь!I63+май!I63+апрель!I63</f>
        <v>0</v>
      </c>
      <c r="J63" s="62">
        <f>июнь!J63+май!J63+апрель!J63</f>
        <v>0</v>
      </c>
      <c r="K63" s="41">
        <f t="shared" si="2"/>
        <v>0</v>
      </c>
      <c r="L63" s="62">
        <f>июнь!L63+май!L63+апрель!L63</f>
        <v>0</v>
      </c>
      <c r="M63" s="62">
        <f>июнь!M63+май!M63+апрель!M63</f>
        <v>0</v>
      </c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>
        <f>июнь!I64+май!I64+апрель!I64</f>
        <v>0</v>
      </c>
      <c r="J64" s="62">
        <f>июнь!J64+май!J64+апрель!J64</f>
        <v>0</v>
      </c>
      <c r="K64" s="41">
        <f t="shared" si="2"/>
        <v>0</v>
      </c>
      <c r="L64" s="62">
        <f>июнь!L64+май!L64+апрель!L64</f>
        <v>0</v>
      </c>
      <c r="M64" s="62">
        <f>июнь!M64+май!M64+апрель!M64</f>
        <v>0</v>
      </c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>
        <f>июнь!I65+май!I65+апрель!I65</f>
        <v>0</v>
      </c>
      <c r="J65" s="62">
        <f>июнь!J65+май!J65+апрель!J65</f>
        <v>0</v>
      </c>
      <c r="K65" s="41">
        <f t="shared" si="2"/>
        <v>0</v>
      </c>
      <c r="L65" s="62">
        <f>июнь!L65+май!L65+апрель!L65</f>
        <v>0</v>
      </c>
      <c r="M65" s="62">
        <f>июнь!M65+май!M65+апрель!M65</f>
        <v>0</v>
      </c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2</v>
      </c>
      <c r="E66" s="158"/>
      <c r="F66" s="159"/>
      <c r="G66" s="160"/>
      <c r="H66" s="41">
        <f t="shared" si="1"/>
        <v>2</v>
      </c>
      <c r="I66" s="62">
        <f>июнь!I66+май!I66+апрель!I66</f>
        <v>2</v>
      </c>
      <c r="J66" s="62">
        <f>июнь!J66+май!J66+апрель!J66</f>
        <v>0</v>
      </c>
      <c r="K66" s="41">
        <f t="shared" si="2"/>
        <v>0</v>
      </c>
      <c r="L66" s="62">
        <f>июнь!L66+май!L66+апрель!L66</f>
        <v>0</v>
      </c>
      <c r="M66" s="62">
        <f>июнь!M66+май!M66+апрель!M66</f>
        <v>0</v>
      </c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2.2939999999999996</v>
      </c>
      <c r="E67" s="166"/>
      <c r="F67" s="167"/>
      <c r="G67" s="168"/>
      <c r="H67" s="41">
        <f t="shared" si="1"/>
        <v>2.2939999999999996</v>
      </c>
      <c r="I67" s="62">
        <f>июнь!I67+май!I67+апрель!I67</f>
        <v>2.2939999999999996</v>
      </c>
      <c r="J67" s="62">
        <f>июнь!J67+май!J67+апрель!J67</f>
        <v>0</v>
      </c>
      <c r="K67" s="41">
        <f t="shared" si="2"/>
        <v>0</v>
      </c>
      <c r="L67" s="62">
        <f>июнь!L67+май!L67+апрель!L67</f>
        <v>0</v>
      </c>
      <c r="M67" s="62">
        <f>июнь!M67+май!M67+апрель!M67</f>
        <v>0</v>
      </c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>
        <f>июнь!I68+май!I68+апрель!I68</f>
        <v>0</v>
      </c>
      <c r="J68" s="62">
        <f>июнь!J68+май!J68+апрель!J68</f>
        <v>0</v>
      </c>
      <c r="K68" s="41">
        <f t="shared" si="2"/>
        <v>0</v>
      </c>
      <c r="L68" s="62">
        <f>июнь!L68+май!L68+апрель!L68</f>
        <v>0</v>
      </c>
      <c r="M68" s="62">
        <f>июнь!M68+май!M68+апрель!M68</f>
        <v>0</v>
      </c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>
        <f>июнь!I69+май!I69+апрель!I69</f>
        <v>0</v>
      </c>
      <c r="J69" s="62">
        <f>июнь!J69+май!J69+апрель!J69</f>
        <v>0</v>
      </c>
      <c r="K69" s="41">
        <f t="shared" si="2"/>
        <v>0</v>
      </c>
      <c r="L69" s="62">
        <f>июнь!L69+май!L69+апрель!L69</f>
        <v>0</v>
      </c>
      <c r="M69" s="62">
        <f>июнь!M69+май!M69+апрель!M69</f>
        <v>0</v>
      </c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0</v>
      </c>
      <c r="E70" s="158"/>
      <c r="F70" s="159"/>
      <c r="G70" s="160"/>
      <c r="H70" s="41">
        <f t="shared" si="1"/>
        <v>0</v>
      </c>
      <c r="I70" s="62">
        <f>июнь!I70+май!I70+апрель!I70</f>
        <v>0</v>
      </c>
      <c r="J70" s="62">
        <f>июнь!J70+май!J70+апрель!J70</f>
        <v>0</v>
      </c>
      <c r="K70" s="41">
        <f t="shared" si="2"/>
        <v>0</v>
      </c>
      <c r="L70" s="62">
        <f>июнь!L70+май!L70+апрель!L70</f>
        <v>0</v>
      </c>
      <c r="M70" s="62">
        <f>июнь!M70+май!M70+апрель!M70</f>
        <v>0</v>
      </c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0</v>
      </c>
      <c r="E71" s="166"/>
      <c r="F71" s="167"/>
      <c r="G71" s="168"/>
      <c r="H71" s="41">
        <f t="shared" si="1"/>
        <v>0</v>
      </c>
      <c r="I71" s="62">
        <f>июнь!I71+май!I71+апрель!I71</f>
        <v>0</v>
      </c>
      <c r="J71" s="62">
        <f>июнь!J71+май!J71+апрель!J71</f>
        <v>0</v>
      </c>
      <c r="K71" s="41">
        <f t="shared" si="2"/>
        <v>0</v>
      </c>
      <c r="L71" s="62">
        <f>июнь!L71+май!L71+апрель!L71</f>
        <v>0</v>
      </c>
      <c r="M71" s="62">
        <f>июнь!M71+май!M71+апрель!M71</f>
        <v>0</v>
      </c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1902.3270000000002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1858.7420000000002</v>
      </c>
      <c r="I72" s="178">
        <f>I74+I84+I86</f>
        <v>1858.7420000000002</v>
      </c>
      <c r="J72" s="178">
        <f>J74+J84+J86</f>
        <v>0</v>
      </c>
      <c r="K72" s="41">
        <f t="shared" si="2"/>
        <v>43.585000000000001</v>
      </c>
      <c r="L72" s="179">
        <f t="shared" si="13"/>
        <v>43.585000000000001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1.1135000000000002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1.0679000000000001</v>
      </c>
      <c r="I73" s="18">
        <f t="shared" si="14"/>
        <v>1.0679000000000001</v>
      </c>
      <c r="J73" s="18">
        <f t="shared" si="14"/>
        <v>0</v>
      </c>
      <c r="K73" s="49">
        <f t="shared" si="2"/>
        <v>4.5600000000000002E-2</v>
      </c>
      <c r="L73" s="18">
        <f t="shared" si="14"/>
        <v>4.5600000000000002E-2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1724.0609999999999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1686.47</v>
      </c>
      <c r="I74" s="18">
        <f>I76+I78+I80+I82</f>
        <v>1686.47</v>
      </c>
      <c r="J74" s="18">
        <f>J76+J78+J80+J82</f>
        <v>0</v>
      </c>
      <c r="K74" s="49">
        <f t="shared" si="2"/>
        <v>37.591000000000001</v>
      </c>
      <c r="L74" s="18">
        <f>L76+L78+L80+L82</f>
        <v>37.591000000000001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0.12350000000000001</v>
      </c>
      <c r="E75" s="57">
        <f t="shared" ref="E75:E86" si="16">F75+G75</f>
        <v>0</v>
      </c>
      <c r="F75" s="62"/>
      <c r="G75" s="62"/>
      <c r="H75" s="48">
        <f t="shared" si="1"/>
        <v>0.11750000000000001</v>
      </c>
      <c r="I75" s="20">
        <f>июнь!I75+май!I75+апрель!I75</f>
        <v>0.11750000000000001</v>
      </c>
      <c r="J75" s="20">
        <f>июнь!J75+май!J75+апрель!J75</f>
        <v>0</v>
      </c>
      <c r="K75" s="49">
        <f t="shared" si="2"/>
        <v>6.0000000000000001E-3</v>
      </c>
      <c r="L75" s="20">
        <f>июнь!L75+май!L75+апрель!L75</f>
        <v>6.0000000000000001E-3</v>
      </c>
      <c r="M75" s="20">
        <f>июнь!M75+май!M75+апрель!M75</f>
        <v>0</v>
      </c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90.714999999999989</v>
      </c>
      <c r="E76" s="57">
        <f t="shared" si="16"/>
        <v>0</v>
      </c>
      <c r="F76" s="62"/>
      <c r="G76" s="62"/>
      <c r="H76" s="48">
        <f t="shared" si="1"/>
        <v>86.352999999999994</v>
      </c>
      <c r="I76" s="20">
        <f>июнь!I76+май!I76+апрель!I76</f>
        <v>86.352999999999994</v>
      </c>
      <c r="J76" s="20">
        <f>июнь!J76+май!J76+апрель!J76</f>
        <v>0</v>
      </c>
      <c r="K76" s="49">
        <f t="shared" si="2"/>
        <v>4.3620000000000001</v>
      </c>
      <c r="L76" s="20">
        <f>июнь!L76+май!L76+апрель!L76</f>
        <v>4.3620000000000001</v>
      </c>
      <c r="M76" s="20">
        <f>июнь!M76+май!M76+апрель!M76</f>
        <v>0</v>
      </c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0.18439999999999998</v>
      </c>
      <c r="E77" s="57">
        <f t="shared" si="16"/>
        <v>0</v>
      </c>
      <c r="F77" s="62"/>
      <c r="G77" s="62"/>
      <c r="H77" s="48">
        <f t="shared" si="1"/>
        <v>0.15079999999999999</v>
      </c>
      <c r="I77" s="20">
        <f>июнь!I77+май!I77+апрель!I77</f>
        <v>0.15079999999999999</v>
      </c>
      <c r="J77" s="20">
        <f>июнь!J77+май!J77+апрель!J77</f>
        <v>0</v>
      </c>
      <c r="K77" s="49">
        <f t="shared" si="2"/>
        <v>3.3599999999999998E-2</v>
      </c>
      <c r="L77" s="20">
        <f>июнь!L77+май!L77+апрель!L77</f>
        <v>3.3599999999999998E-2</v>
      </c>
      <c r="M77" s="20">
        <f>июнь!M77+май!M77+апрель!M77</f>
        <v>0</v>
      </c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149.70699999999999</v>
      </c>
      <c r="E78" s="57">
        <f t="shared" si="16"/>
        <v>0</v>
      </c>
      <c r="F78" s="62"/>
      <c r="G78" s="62"/>
      <c r="H78" s="48">
        <f t="shared" ref="H78:H97" si="23">I78+J78</f>
        <v>120.185</v>
      </c>
      <c r="I78" s="20">
        <f>июнь!I78+май!I78+апрель!I78</f>
        <v>120.185</v>
      </c>
      <c r="J78" s="20">
        <f>июнь!J78+май!J78+апрель!J78</f>
        <v>0</v>
      </c>
      <c r="K78" s="49">
        <f t="shared" ref="K78:K97" si="24">L78+M78</f>
        <v>29.522000000000002</v>
      </c>
      <c r="L78" s="20">
        <f>июнь!L78+май!L78+апрель!L78</f>
        <v>29.522000000000002</v>
      </c>
      <c r="M78" s="20">
        <f>июнь!M78+май!M78+апрель!M78</f>
        <v>0</v>
      </c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0.11210000000000002</v>
      </c>
      <c r="E79" s="57">
        <f t="shared" si="16"/>
        <v>0</v>
      </c>
      <c r="F79" s="62"/>
      <c r="G79" s="62"/>
      <c r="H79" s="48">
        <f t="shared" si="23"/>
        <v>0.11010000000000002</v>
      </c>
      <c r="I79" s="20">
        <f>июнь!I79+май!I79+апрель!I79</f>
        <v>0.11010000000000002</v>
      </c>
      <c r="J79" s="20">
        <f>июнь!J79+май!J79+апрель!J79</f>
        <v>0</v>
      </c>
      <c r="K79" s="49">
        <f t="shared" si="24"/>
        <v>2E-3</v>
      </c>
      <c r="L79" s="20">
        <f>июнь!L79+май!L79+апрель!L79</f>
        <v>2E-3</v>
      </c>
      <c r="M79" s="20">
        <f>июнь!M79+май!M79+апрель!M79</f>
        <v>0</v>
      </c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101.76799999999999</v>
      </c>
      <c r="E80" s="57">
        <f t="shared" si="16"/>
        <v>0</v>
      </c>
      <c r="F80" s="62"/>
      <c r="G80" s="62"/>
      <c r="H80" s="48">
        <f t="shared" si="23"/>
        <v>100.37599999999999</v>
      </c>
      <c r="I80" s="20">
        <f>июнь!I80+май!I80+апрель!I80</f>
        <v>100.37599999999999</v>
      </c>
      <c r="J80" s="20">
        <f>июнь!J80+май!J80+апрель!J80</f>
        <v>0</v>
      </c>
      <c r="K80" s="49">
        <f t="shared" si="24"/>
        <v>1.3919999999999999</v>
      </c>
      <c r="L80" s="20">
        <f>июнь!L80+май!L80+апрель!L80</f>
        <v>1.3919999999999999</v>
      </c>
      <c r="M80" s="20">
        <f>июнь!M80+май!M80+апрель!M80</f>
        <v>0</v>
      </c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0.69350000000000001</v>
      </c>
      <c r="E81" s="57">
        <f t="shared" si="16"/>
        <v>0</v>
      </c>
      <c r="F81" s="62"/>
      <c r="G81" s="62"/>
      <c r="H81" s="48">
        <f t="shared" si="23"/>
        <v>0.6895</v>
      </c>
      <c r="I81" s="20">
        <f>июнь!I81+май!I81+апрель!I81</f>
        <v>0.6895</v>
      </c>
      <c r="J81" s="20">
        <f>июнь!J81+май!J81+апрель!J81</f>
        <v>0</v>
      </c>
      <c r="K81" s="49">
        <f t="shared" si="24"/>
        <v>4.0000000000000001E-3</v>
      </c>
      <c r="L81" s="20">
        <f>июнь!L81+май!L81+апрель!L81</f>
        <v>4.0000000000000001E-3</v>
      </c>
      <c r="M81" s="20">
        <f>июнь!M81+май!M81+апрель!M81</f>
        <v>0</v>
      </c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1381.8710000000001</v>
      </c>
      <c r="E82" s="57">
        <f t="shared" si="16"/>
        <v>0</v>
      </c>
      <c r="F82" s="62"/>
      <c r="G82" s="62"/>
      <c r="H82" s="48">
        <f t="shared" si="23"/>
        <v>1379.556</v>
      </c>
      <c r="I82" s="20">
        <f>июнь!I82+май!I82+апрель!I82</f>
        <v>1379.556</v>
      </c>
      <c r="J82" s="20">
        <f>июнь!J82+май!J82+апрель!J82</f>
        <v>0</v>
      </c>
      <c r="K82" s="49">
        <f t="shared" si="24"/>
        <v>2.3149999999999999</v>
      </c>
      <c r="L82" s="20">
        <f>июнь!L82+май!L82+апрель!L82</f>
        <v>2.3149999999999999</v>
      </c>
      <c r="M82" s="20">
        <f>июнь!M82+май!M82+апрель!M82</f>
        <v>0</v>
      </c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13</v>
      </c>
      <c r="E83" s="57">
        <f t="shared" si="16"/>
        <v>0</v>
      </c>
      <c r="F83" s="62"/>
      <c r="G83" s="62"/>
      <c r="H83" s="48">
        <f t="shared" si="23"/>
        <v>12</v>
      </c>
      <c r="I83" s="20">
        <f>июнь!I83+май!I83+апрель!I83</f>
        <v>12</v>
      </c>
      <c r="J83" s="20">
        <f>июнь!J83+май!J83+апрель!J83</f>
        <v>0</v>
      </c>
      <c r="K83" s="49">
        <f t="shared" si="24"/>
        <v>1</v>
      </c>
      <c r="L83" s="20">
        <f>июнь!L83+май!L83+апрель!L83</f>
        <v>1</v>
      </c>
      <c r="M83" s="20">
        <f>июнь!M83+май!M83+апрель!M83</f>
        <v>0</v>
      </c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81.203000000000003</v>
      </c>
      <c r="E84" s="57">
        <f t="shared" si="16"/>
        <v>0</v>
      </c>
      <c r="F84" s="62"/>
      <c r="G84" s="62"/>
      <c r="H84" s="48">
        <f t="shared" si="23"/>
        <v>76.418999999999997</v>
      </c>
      <c r="I84" s="20">
        <f>июнь!I84+май!I84+апрель!I84</f>
        <v>76.418999999999997</v>
      </c>
      <c r="J84" s="20">
        <f>июнь!J84+май!J84+апрель!J84</f>
        <v>0</v>
      </c>
      <c r="K84" s="49">
        <f t="shared" si="24"/>
        <v>4.7839999999999998</v>
      </c>
      <c r="L84" s="20">
        <f>июнь!L84+май!L84+апрель!L84</f>
        <v>4.7839999999999998</v>
      </c>
      <c r="M84" s="20">
        <f>июнь!M84+май!M84+апрель!M84</f>
        <v>0</v>
      </c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93</v>
      </c>
      <c r="E85" s="57">
        <f t="shared" si="16"/>
        <v>0</v>
      </c>
      <c r="F85" s="62"/>
      <c r="G85" s="62"/>
      <c r="H85" s="48">
        <f t="shared" si="23"/>
        <v>91</v>
      </c>
      <c r="I85" s="20">
        <f>июнь!I85+май!I85+апрель!I85</f>
        <v>91</v>
      </c>
      <c r="J85" s="20">
        <f>июнь!J85+май!J85+апрель!J85</f>
        <v>0</v>
      </c>
      <c r="K85" s="49">
        <f t="shared" si="24"/>
        <v>2</v>
      </c>
      <c r="L85" s="20">
        <f>июнь!L85+май!L85+апрель!L85</f>
        <v>2</v>
      </c>
      <c r="M85" s="20">
        <f>июнь!M85+май!M85+апрель!M85</f>
        <v>0</v>
      </c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97.063000000000002</v>
      </c>
      <c r="E86" s="57">
        <f t="shared" si="16"/>
        <v>0</v>
      </c>
      <c r="F86" s="62"/>
      <c r="G86" s="62"/>
      <c r="H86" s="48">
        <f t="shared" si="23"/>
        <v>95.853000000000009</v>
      </c>
      <c r="I86" s="20">
        <f>июнь!I86+май!I86+апрель!I86</f>
        <v>95.853000000000009</v>
      </c>
      <c r="J86" s="20">
        <f>июнь!J86+май!J86+апрель!J86</f>
        <v>0</v>
      </c>
      <c r="K86" s="49">
        <f t="shared" si="24"/>
        <v>1.21</v>
      </c>
      <c r="L86" s="20">
        <f>июнь!L86+май!L86+апрель!L86</f>
        <v>1.21</v>
      </c>
      <c r="M86" s="20">
        <f>июнь!M86+май!M86+апрель!M86</f>
        <v>0</v>
      </c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1604.2859999999998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1545.1279999999999</v>
      </c>
      <c r="I87" s="195">
        <f t="shared" si="25"/>
        <v>1545.1279999999999</v>
      </c>
      <c r="J87" s="195">
        <f t="shared" si="25"/>
        <v>0</v>
      </c>
      <c r="K87" s="41">
        <f t="shared" si="24"/>
        <v>59.158000000000001</v>
      </c>
      <c r="L87" s="195">
        <f t="shared" si="25"/>
        <v>59.158000000000001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1.3820000000000001</v>
      </c>
      <c r="E88" s="57">
        <f>F88+G88</f>
        <v>0</v>
      </c>
      <c r="F88" s="62"/>
      <c r="G88" s="62"/>
      <c r="H88" s="41">
        <f t="shared" si="23"/>
        <v>1.3160000000000001</v>
      </c>
      <c r="I88" s="196">
        <f>июнь!I88+май!I88+апрель!I88</f>
        <v>1.3160000000000001</v>
      </c>
      <c r="J88" s="196">
        <f>июнь!J88+май!J88+апрель!J88</f>
        <v>0</v>
      </c>
      <c r="K88" s="41">
        <f t="shared" si="24"/>
        <v>6.6000000000000003E-2</v>
      </c>
      <c r="L88" s="62">
        <f>июнь!L88+май!L88+апрель!L88</f>
        <v>6.6000000000000003E-2</v>
      </c>
      <c r="M88" s="62">
        <f>июнь!M88+май!M88+апрель!M88</f>
        <v>0</v>
      </c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270.62299999999999</v>
      </c>
      <c r="E89" s="57">
        <f>F89+G89</f>
        <v>0</v>
      </c>
      <c r="F89" s="62"/>
      <c r="G89" s="62"/>
      <c r="H89" s="41">
        <f t="shared" si="23"/>
        <v>263.67599999999999</v>
      </c>
      <c r="I89" s="196">
        <f>июнь!I89+май!I89+апрель!I89</f>
        <v>263.67599999999999</v>
      </c>
      <c r="J89" s="196">
        <f>июнь!J89+май!J89+апрель!J89</f>
        <v>0</v>
      </c>
      <c r="K89" s="41">
        <f t="shared" si="24"/>
        <v>6.9470000000000001</v>
      </c>
      <c r="L89" s="62">
        <f>июнь!L89+май!L89+апрель!L89</f>
        <v>6.9470000000000001</v>
      </c>
      <c r="M89" s="62">
        <f>июнь!M89+май!M89+апрель!M89</f>
        <v>0</v>
      </c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1029</v>
      </c>
      <c r="E90" s="57">
        <v>0</v>
      </c>
      <c r="F90" s="62"/>
      <c r="G90" s="62"/>
      <c r="H90" s="41">
        <f>I90+J91</f>
        <v>972</v>
      </c>
      <c r="I90" s="196">
        <f>июнь!I90+май!I90+апрель!I90</f>
        <v>972</v>
      </c>
      <c r="J90" s="196">
        <f>июнь!J90+май!J90+апрель!J90</f>
        <v>0</v>
      </c>
      <c r="K90" s="41">
        <f t="shared" si="24"/>
        <v>57</v>
      </c>
      <c r="L90" s="62">
        <f>июнь!L90+май!L90+апрель!L90</f>
        <v>57</v>
      </c>
      <c r="M90" s="62">
        <f>июнь!M90+май!M90+апрель!M90</f>
        <v>0</v>
      </c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963.06599999999992</v>
      </c>
      <c r="E91" s="57">
        <f>F91+G91</f>
        <v>0</v>
      </c>
      <c r="F91" s="62"/>
      <c r="G91" s="62"/>
      <c r="H91" s="41">
        <f t="shared" ref="H91:H93" si="31">I91+J92</f>
        <v>916.56499999999994</v>
      </c>
      <c r="I91" s="196">
        <f>июнь!I91+май!I91+апрель!I91</f>
        <v>916.56499999999994</v>
      </c>
      <c r="J91" s="196">
        <f>июнь!J91+май!J91+апрель!J91</f>
        <v>0</v>
      </c>
      <c r="K91" s="41">
        <f t="shared" si="24"/>
        <v>46.500999999999998</v>
      </c>
      <c r="L91" s="62">
        <f>июнь!L91+май!L91+апрель!L91</f>
        <v>46.500999999999998</v>
      </c>
      <c r="M91" s="62">
        <f>июнь!M91+май!M91+апрель!M91</f>
        <v>0</v>
      </c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101</v>
      </c>
      <c r="E92" s="57">
        <f>F92+G92</f>
        <v>0</v>
      </c>
      <c r="F92" s="62"/>
      <c r="G92" s="62"/>
      <c r="H92" s="41">
        <f t="shared" si="31"/>
        <v>98</v>
      </c>
      <c r="I92" s="196">
        <f>июнь!I92+май!I92+апрель!I92</f>
        <v>98</v>
      </c>
      <c r="J92" s="196">
        <f>июнь!J92+май!J92+апрель!J92</f>
        <v>0</v>
      </c>
      <c r="K92" s="41">
        <f t="shared" si="24"/>
        <v>3</v>
      </c>
      <c r="L92" s="62">
        <f>июнь!L92+май!L92+апрель!L92</f>
        <v>3</v>
      </c>
      <c r="M92" s="62">
        <f>июнь!M92+май!M92+апрель!M92</f>
        <v>0</v>
      </c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370.59699999999998</v>
      </c>
      <c r="E93" s="57">
        <f>F93+G93</f>
        <v>0</v>
      </c>
      <c r="F93" s="62"/>
      <c r="G93" s="62"/>
      <c r="H93" s="41">
        <f t="shared" si="31"/>
        <v>364.887</v>
      </c>
      <c r="I93" s="196">
        <f>июнь!I93+май!I93+апрель!I93</f>
        <v>364.887</v>
      </c>
      <c r="J93" s="196">
        <f>июнь!J93+май!J93+апрель!J93</f>
        <v>0</v>
      </c>
      <c r="K93" s="41">
        <f t="shared" si="24"/>
        <v>5.71</v>
      </c>
      <c r="L93" s="62">
        <f>июнь!L93+май!L93+апрель!L93</f>
        <v>5.71</v>
      </c>
      <c r="M93" s="62">
        <f>июнь!M93+май!M93+апрель!M93</f>
        <v>0</v>
      </c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0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0</v>
      </c>
      <c r="I94" s="205">
        <f t="shared" si="32"/>
        <v>0</v>
      </c>
      <c r="J94" s="205">
        <f t="shared" si="32"/>
        <v>0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0</v>
      </c>
      <c r="E95" s="57">
        <f>F95+G95</f>
        <v>0</v>
      </c>
      <c r="F95" s="62"/>
      <c r="G95" s="62"/>
      <c r="H95" s="41">
        <f t="shared" si="23"/>
        <v>0</v>
      </c>
      <c r="I95" s="62">
        <f>июнь!I95+май!I95+апрель!I95</f>
        <v>0</v>
      </c>
      <c r="J95" s="62">
        <f>июнь!J95+май!J95+апрель!J95</f>
        <v>0</v>
      </c>
      <c r="K95" s="41">
        <f t="shared" si="24"/>
        <v>0</v>
      </c>
      <c r="L95" s="62">
        <f>июнь!L95+май!L95+апрель!L95</f>
        <v>0</v>
      </c>
      <c r="M95" s="62">
        <f>июнь!M95+май!M95+апрель!M95</f>
        <v>0</v>
      </c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>
        <f>июнь!I96+май!I96+апрель!I96</f>
        <v>0</v>
      </c>
      <c r="J96" s="62">
        <f>июнь!J96+май!J96+апрель!J96</f>
        <v>0</v>
      </c>
      <c r="K96" s="41">
        <f t="shared" si="24"/>
        <v>0</v>
      </c>
      <c r="L96" s="62">
        <f>июнь!L96+май!L96+апрель!L96</f>
        <v>0</v>
      </c>
      <c r="M96" s="62">
        <f>июнь!M96+май!M96+апрель!M96</f>
        <v>0</v>
      </c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386.23700000000008</v>
      </c>
      <c r="E97" s="211">
        <f>F97+G97</f>
        <v>0</v>
      </c>
      <c r="F97" s="212"/>
      <c r="G97" s="212"/>
      <c r="H97" s="41">
        <f t="shared" si="23"/>
        <v>353.88200000000006</v>
      </c>
      <c r="I97" s="95">
        <f>июнь!I97+май!I97+апрель!I97</f>
        <v>353.88200000000006</v>
      </c>
      <c r="J97" s="95">
        <f>июнь!J97+май!J97+апрель!J97</f>
        <v>0</v>
      </c>
      <c r="K97" s="41">
        <f t="shared" si="24"/>
        <v>32.354999999999997</v>
      </c>
      <c r="L97" s="95">
        <f>июнь!L97+май!L97+апрель!L97</f>
        <v>32.354999999999997</v>
      </c>
      <c r="M97" s="95">
        <f>июнь!M97+май!M97+апрель!M97</f>
        <v>0</v>
      </c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6304.4219999999996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6007.65</v>
      </c>
      <c r="I98" s="144">
        <f>I97+I94+I87+I72+I13</f>
        <v>5419.7860000000001</v>
      </c>
      <c r="J98" s="144">
        <f>J97+J94+J87+J72+J13</f>
        <v>587.86399999999992</v>
      </c>
      <c r="K98" s="41">
        <f>L98+M98</f>
        <v>296.77200000000005</v>
      </c>
      <c r="L98" s="218">
        <f t="shared" si="33"/>
        <v>296.77200000000005</v>
      </c>
      <c r="M98" s="218">
        <f>M97+M94+M87+M72+M13</f>
        <v>0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74344.304999999993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66.046999999999997</v>
      </c>
      <c r="E100" s="27"/>
      <c r="F100" s="27"/>
      <c r="G100" s="27"/>
      <c r="H100" s="27"/>
      <c r="I100" s="27">
        <f>H97-I97</f>
        <v>0</v>
      </c>
      <c r="J100" s="27">
        <f>I97+E99</f>
        <v>74698.186999999991</v>
      </c>
      <c r="K100" s="27"/>
      <c r="L100" s="27"/>
      <c r="M100" s="27">
        <f>9567.184-K98</f>
        <v>9270.4119999999984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433" t="s">
        <v>165</v>
      </c>
      <c r="B139" s="593" t="s">
        <v>166</v>
      </c>
      <c r="C139" s="433" t="s">
        <v>47</v>
      </c>
      <c r="D139" s="434">
        <f>H139+K139</f>
        <v>0</v>
      </c>
      <c r="E139" s="434">
        <f t="shared" ref="E139:G140" si="45">E141+E143+E145+E147+E149+E151+E153+E155</f>
        <v>0</v>
      </c>
      <c r="F139" s="434">
        <f t="shared" si="45"/>
        <v>0</v>
      </c>
      <c r="G139" s="434">
        <f t="shared" si="45"/>
        <v>0</v>
      </c>
      <c r="H139" s="434">
        <v>0</v>
      </c>
      <c r="I139" s="434">
        <f>I141+I143+I145+I147+I149+I151+I153</f>
        <v>3066</v>
      </c>
      <c r="J139" s="434">
        <f t="shared" ref="J139:X140" si="46">J141+J143+J145+J147+J149+J151+J153+J155</f>
        <v>0</v>
      </c>
      <c r="K139" s="540">
        <f t="shared" si="46"/>
        <v>0</v>
      </c>
      <c r="L139" s="85">
        <f t="shared" si="46"/>
        <v>0</v>
      </c>
      <c r="M139" s="85">
        <f t="shared" si="46"/>
        <v>0</v>
      </c>
      <c r="N139" s="85">
        <f t="shared" si="46"/>
        <v>0</v>
      </c>
      <c r="O139" s="85">
        <f t="shared" si="46"/>
        <v>0</v>
      </c>
      <c r="P139" s="85">
        <f t="shared" si="46"/>
        <v>0</v>
      </c>
      <c r="Q139" s="85">
        <f t="shared" si="46"/>
        <v>0</v>
      </c>
      <c r="R139" s="85">
        <f t="shared" si="46"/>
        <v>0</v>
      </c>
      <c r="S139" s="85">
        <f t="shared" si="46"/>
        <v>0</v>
      </c>
      <c r="T139" s="85">
        <f t="shared" si="46"/>
        <v>0</v>
      </c>
      <c r="U139" s="85">
        <f t="shared" si="46"/>
        <v>0</v>
      </c>
      <c r="V139" s="85">
        <f t="shared" si="46"/>
        <v>0</v>
      </c>
      <c r="W139" s="85">
        <f t="shared" si="46"/>
        <v>0</v>
      </c>
      <c r="X139" s="85">
        <f t="shared" si="46"/>
        <v>0</v>
      </c>
    </row>
    <row r="140" spans="1:256" ht="16.5" thickBot="1">
      <c r="A140" s="433"/>
      <c r="B140" s="593" t="s">
        <v>84</v>
      </c>
      <c r="C140" s="433" t="s">
        <v>21</v>
      </c>
      <c r="D140" s="434">
        <f>H140+K140</f>
        <v>0</v>
      </c>
      <c r="E140" s="434">
        <f t="shared" si="45"/>
        <v>0</v>
      </c>
      <c r="F140" s="434">
        <f t="shared" si="45"/>
        <v>0</v>
      </c>
      <c r="G140" s="434">
        <f t="shared" si="45"/>
        <v>0</v>
      </c>
      <c r="H140" s="434">
        <v>0</v>
      </c>
      <c r="I140" s="434">
        <f>I142+I144+I146+I148+I150+I152+I154</f>
        <v>38.359019999999994</v>
      </c>
      <c r="J140" s="434">
        <f t="shared" si="46"/>
        <v>0</v>
      </c>
      <c r="K140" s="540">
        <f t="shared" si="46"/>
        <v>0</v>
      </c>
      <c r="L140" s="85">
        <f t="shared" si="46"/>
        <v>0</v>
      </c>
      <c r="M140" s="85">
        <f t="shared" si="46"/>
        <v>0</v>
      </c>
      <c r="N140" s="85">
        <f t="shared" si="46"/>
        <v>0</v>
      </c>
      <c r="O140" s="85">
        <f t="shared" si="46"/>
        <v>0</v>
      </c>
      <c r="P140" s="85">
        <f t="shared" si="46"/>
        <v>0</v>
      </c>
      <c r="Q140" s="85">
        <f t="shared" si="46"/>
        <v>0</v>
      </c>
      <c r="R140" s="85">
        <f t="shared" si="46"/>
        <v>0</v>
      </c>
      <c r="S140" s="85">
        <f t="shared" si="46"/>
        <v>0</v>
      </c>
      <c r="T140" s="85">
        <f t="shared" si="46"/>
        <v>0</v>
      </c>
      <c r="U140" s="85">
        <f t="shared" si="46"/>
        <v>0</v>
      </c>
      <c r="V140" s="85">
        <f t="shared" si="46"/>
        <v>0</v>
      </c>
      <c r="W140" s="85">
        <f t="shared" si="46"/>
        <v>0</v>
      </c>
      <c r="X140" s="85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>
        <f>июнь!I141+май!I141+апрель!I141</f>
        <v>0</v>
      </c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>
        <f>июнь!I142+май!I142+апрель!I142</f>
        <v>0</v>
      </c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>
        <f>июнь!I143+май!I143+апрель!I143</f>
        <v>6</v>
      </c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>
        <f>июнь!I144+май!I144+апрель!I144</f>
        <v>2.6105399999999999</v>
      </c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>
        <f>июнь!I145+май!I145+апрель!I145</f>
        <v>0</v>
      </c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>
        <f>июнь!I146+май!I146+апрель!I146</f>
        <v>0</v>
      </c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>
        <f>июнь!I147+май!I147+апрель!I147</f>
        <v>840</v>
      </c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>
        <f>июнь!I148+май!I148+апрель!I148</f>
        <v>10.683900000000001</v>
      </c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>
        <f>июнь!I149+май!I149+апрель!I149</f>
        <v>2210</v>
      </c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>
        <f>июнь!I150+май!I150+апрель!I150</f>
        <v>24.747319999999995</v>
      </c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>
        <f>июнь!I151+май!I151+апрель!I151</f>
        <v>0</v>
      </c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>
        <f>июнь!I152+май!I152+апрель!I152</f>
        <v>0</v>
      </c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>
        <f>июнь!I153+май!I153+апрель!I153</f>
        <v>10</v>
      </c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>
        <f>июнь!I154+май!I154+апрель!I154</f>
        <v>0.31725999999999999</v>
      </c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286</v>
      </c>
      <c r="B157" s="5"/>
      <c r="C157" s="5"/>
      <c r="D157" s="5"/>
      <c r="E157" s="5"/>
    </row>
    <row r="158" spans="1:24" s="6" customFormat="1">
      <c r="A158" s="1748" t="s">
        <v>287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 t="s">
        <v>288</v>
      </c>
      <c r="B160" s="5"/>
      <c r="C160" s="5"/>
      <c r="D160" s="5"/>
      <c r="E160" s="5"/>
    </row>
    <row r="163" ht="6" customHeight="1"/>
  </sheetData>
  <mergeCells count="22">
    <mergeCell ref="A14:A16"/>
    <mergeCell ref="A101:T101"/>
    <mergeCell ref="A158:D15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5"/>
  <sheetViews>
    <sheetView topLeftCell="A79" zoomScale="142" zoomScaleNormal="142" workbookViewId="0">
      <selection activeCell="K86" sqref="K86"/>
    </sheetView>
  </sheetViews>
  <sheetFormatPr defaultRowHeight="15"/>
  <cols>
    <col min="1" max="1" width="6" customWidth="1"/>
    <col min="2" max="2" width="34" customWidth="1"/>
    <col min="3" max="3" width="6.28515625" customWidth="1"/>
    <col min="4" max="4" width="8" customWidth="1"/>
    <col min="5" max="7" width="9.140625" hidden="1" customWidth="1"/>
    <col min="9" max="9" width="7.7109375" customWidth="1"/>
    <col min="10" max="10" width="6.5703125" customWidth="1"/>
    <col min="11" max="11" width="8.140625" customWidth="1"/>
    <col min="13" max="13" width="7" customWidth="1"/>
    <col min="14" max="20" width="9.140625" hidden="1" customWidth="1"/>
    <col min="21" max="21" width="0.140625" customWidth="1"/>
    <col min="22" max="24" width="9.140625" hidden="1" customWidth="1"/>
  </cols>
  <sheetData>
    <row r="1" spans="1:24">
      <c r="A1" s="631"/>
      <c r="B1" s="631"/>
      <c r="C1" s="631"/>
      <c r="D1" s="632"/>
      <c r="E1" s="632"/>
      <c r="F1" s="631"/>
      <c r="G1" s="631"/>
      <c r="H1" s="631"/>
      <c r="I1" s="1729" t="s">
        <v>184</v>
      </c>
      <c r="J1" s="1729"/>
      <c r="K1" s="1729"/>
      <c r="L1" s="1353"/>
      <c r="M1" s="1353"/>
      <c r="N1" s="631"/>
      <c r="O1" s="631"/>
      <c r="P1" s="631"/>
      <c r="Q1" s="631"/>
      <c r="R1" s="632"/>
      <c r="S1" s="632"/>
      <c r="T1" s="1730"/>
      <c r="U1" s="1730"/>
      <c r="V1" s="1730"/>
      <c r="W1" s="1730"/>
      <c r="X1" s="1730"/>
    </row>
    <row r="2" spans="1:24">
      <c r="A2" s="631"/>
      <c r="B2" s="631"/>
      <c r="C2" s="631"/>
      <c r="D2" s="632"/>
      <c r="E2" s="632"/>
      <c r="F2" s="631"/>
      <c r="G2" s="631"/>
      <c r="H2" s="631"/>
      <c r="I2" s="1729" t="s">
        <v>185</v>
      </c>
      <c r="J2" s="1729"/>
      <c r="K2" s="1729"/>
      <c r="L2" s="1353"/>
      <c r="M2" s="1353"/>
      <c r="N2" s="631"/>
      <c r="O2" s="631"/>
      <c r="P2" s="631"/>
      <c r="Q2" s="631"/>
      <c r="R2" s="632"/>
      <c r="S2" s="632"/>
      <c r="T2" s="1730"/>
      <c r="U2" s="1730"/>
      <c r="V2" s="1730"/>
      <c r="W2" s="1730"/>
      <c r="X2" s="1730"/>
    </row>
    <row r="3" spans="1:24">
      <c r="A3" s="631"/>
      <c r="B3" s="631"/>
      <c r="C3" s="631"/>
      <c r="D3" s="632"/>
      <c r="E3" s="632"/>
      <c r="F3" s="631"/>
      <c r="G3" s="631"/>
      <c r="H3" s="631"/>
      <c r="I3" s="1729" t="s">
        <v>186</v>
      </c>
      <c r="J3" s="1729"/>
      <c r="K3" s="1729"/>
      <c r="L3" s="1353"/>
      <c r="M3" s="1353"/>
      <c r="N3" s="631"/>
      <c r="O3" s="631"/>
      <c r="P3" s="631"/>
      <c r="Q3" s="631"/>
      <c r="R3" s="632"/>
      <c r="S3" s="632"/>
      <c r="T3" s="1730"/>
      <c r="U3" s="1730"/>
      <c r="V3" s="1730"/>
      <c r="W3" s="1730"/>
      <c r="X3" s="1730"/>
    </row>
    <row r="4" spans="1:24">
      <c r="A4" s="631"/>
      <c r="B4" s="631"/>
      <c r="C4" s="631"/>
      <c r="D4" s="632"/>
      <c r="E4" s="632"/>
      <c r="F4" s="631"/>
      <c r="G4" s="631"/>
      <c r="H4" s="631"/>
      <c r="I4" s="1729" t="s">
        <v>187</v>
      </c>
      <c r="J4" s="1729"/>
      <c r="K4" s="1729"/>
      <c r="L4" s="1353"/>
      <c r="M4" s="1353"/>
      <c r="N4" s="631"/>
      <c r="O4" s="631"/>
      <c r="P4" s="631"/>
      <c r="Q4" s="631"/>
      <c r="R4" s="632"/>
      <c r="S4" s="632"/>
      <c r="T4" s="1730"/>
      <c r="U4" s="1730"/>
      <c r="V4" s="1730"/>
      <c r="W4" s="1730"/>
      <c r="X4" s="1730"/>
    </row>
    <row r="5" spans="1:24">
      <c r="A5" s="631"/>
      <c r="B5" s="631"/>
      <c r="C5" s="631"/>
      <c r="D5" s="632"/>
      <c r="E5" s="632"/>
      <c r="F5" s="631"/>
      <c r="G5" s="631"/>
      <c r="H5" s="631"/>
      <c r="I5" s="1729" t="s">
        <v>210</v>
      </c>
      <c r="J5" s="1729"/>
      <c r="K5" s="1729"/>
      <c r="L5" s="1729"/>
      <c r="M5" s="1729"/>
      <c r="N5" s="631"/>
      <c r="O5" s="631"/>
      <c r="P5" s="631"/>
      <c r="Q5" s="631"/>
      <c r="R5" s="632"/>
      <c r="S5" s="632"/>
      <c r="T5" s="1730"/>
      <c r="U5" s="1730"/>
      <c r="V5" s="1730"/>
      <c r="W5" s="1730"/>
      <c r="X5" s="1730"/>
    </row>
    <row r="6" spans="1:24" ht="18.75" customHeight="1">
      <c r="A6" s="1731" t="s">
        <v>317</v>
      </c>
      <c r="B6" s="1731"/>
      <c r="C6" s="1731"/>
      <c r="D6" s="1731"/>
      <c r="E6" s="1731"/>
      <c r="F6" s="1731"/>
      <c r="G6" s="1731"/>
      <c r="H6" s="1731"/>
      <c r="I6" s="1731"/>
      <c r="J6" s="1731"/>
      <c r="K6" s="1731"/>
      <c r="L6" s="1731"/>
      <c r="M6" s="1731"/>
      <c r="N6" s="634"/>
      <c r="O6" s="634"/>
      <c r="P6" s="634"/>
      <c r="Q6" s="634"/>
      <c r="R6" s="634"/>
      <c r="S6" s="634"/>
      <c r="T6" s="634"/>
      <c r="U6" s="631"/>
      <c r="V6" s="631"/>
      <c r="W6" s="631"/>
      <c r="X6" s="631"/>
    </row>
    <row r="7" spans="1:24" ht="2.25" customHeight="1" thickBot="1">
      <c r="A7" s="1354"/>
      <c r="B7" s="1354"/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634"/>
      <c r="O7" s="634"/>
      <c r="P7" s="634"/>
      <c r="Q7" s="634"/>
      <c r="R7" s="634"/>
      <c r="S7" s="634"/>
      <c r="T7" s="634"/>
      <c r="U7" s="631"/>
      <c r="V7" s="631"/>
      <c r="W7" s="631"/>
      <c r="X7" s="631"/>
    </row>
    <row r="8" spans="1:24" ht="15.75" hidden="1" thickBot="1">
      <c r="A8" s="1354"/>
      <c r="B8" s="1354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634"/>
      <c r="O8" s="634"/>
      <c r="P8" s="634"/>
      <c r="Q8" s="634"/>
      <c r="R8" s="634"/>
      <c r="S8" s="634"/>
      <c r="T8" s="634"/>
      <c r="U8" s="631"/>
      <c r="V8" s="631"/>
      <c r="W8" s="631"/>
      <c r="X8" s="631"/>
    </row>
    <row r="9" spans="1:24" ht="15.75" hidden="1" thickBot="1">
      <c r="A9" s="1354"/>
      <c r="B9" s="1354"/>
      <c r="C9" s="1354"/>
      <c r="D9" s="1354"/>
      <c r="E9" s="1354"/>
      <c r="F9" s="1354"/>
      <c r="G9" s="1354"/>
      <c r="H9" s="1354"/>
      <c r="I9" s="1354"/>
      <c r="J9" s="1354"/>
      <c r="K9" s="1354"/>
      <c r="L9" s="1354"/>
      <c r="M9" s="1354"/>
      <c r="N9" s="634"/>
      <c r="O9" s="634"/>
      <c r="P9" s="634"/>
      <c r="Q9" s="634"/>
      <c r="R9" s="634"/>
      <c r="S9" s="634"/>
      <c r="T9" s="634"/>
      <c r="U9" s="631"/>
      <c r="V9" s="631"/>
      <c r="W9" s="631"/>
      <c r="X9" s="631"/>
    </row>
    <row r="10" spans="1:24" ht="15.75" hidden="1" thickBot="1">
      <c r="A10" s="635" t="s">
        <v>190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6"/>
      <c r="P10" s="635"/>
      <c r="Q10" s="635"/>
      <c r="R10" s="635"/>
      <c r="S10" s="635"/>
      <c r="T10" s="635"/>
      <c r="U10" s="631"/>
      <c r="V10" s="631"/>
      <c r="W10" s="631"/>
      <c r="X10" s="631"/>
    </row>
    <row r="11" spans="1:24" ht="15.75" thickBot="1">
      <c r="A11" s="1738" t="s">
        <v>1</v>
      </c>
      <c r="B11" s="1739" t="s">
        <v>2</v>
      </c>
      <c r="C11" s="1740" t="s">
        <v>3</v>
      </c>
      <c r="D11" s="1742" t="s">
        <v>192</v>
      </c>
      <c r="E11" s="1727" t="s">
        <v>5</v>
      </c>
      <c r="F11" s="1727"/>
      <c r="G11" s="1727"/>
      <c r="H11" s="1727"/>
      <c r="I11" s="1727"/>
      <c r="J11" s="1727"/>
      <c r="K11" s="1727"/>
      <c r="L11" s="1727"/>
      <c r="M11" s="1727"/>
      <c r="N11" s="1727"/>
      <c r="O11" s="1727"/>
      <c r="P11" s="1727"/>
      <c r="Q11" s="1727"/>
      <c r="R11" s="1722" t="s">
        <v>6</v>
      </c>
      <c r="S11" s="1722"/>
      <c r="T11" s="1722"/>
      <c r="U11" s="1722" t="s">
        <v>7</v>
      </c>
      <c r="V11" s="1722"/>
      <c r="W11" s="1727" t="s">
        <v>8</v>
      </c>
      <c r="X11" s="1727"/>
    </row>
    <row r="12" spans="1:24" ht="36" customHeight="1" thickTop="1" thickBot="1">
      <c r="A12" s="1738"/>
      <c r="B12" s="1739"/>
      <c r="C12" s="1740"/>
      <c r="D12" s="1742"/>
      <c r="E12" s="1727" t="s">
        <v>9</v>
      </c>
      <c r="F12" s="1727"/>
      <c r="G12" s="1727"/>
      <c r="H12" s="1727" t="s">
        <v>10</v>
      </c>
      <c r="I12" s="1727"/>
      <c r="J12" s="1727"/>
      <c r="K12" s="1727" t="s">
        <v>11</v>
      </c>
      <c r="L12" s="1727"/>
      <c r="M12" s="1732"/>
      <c r="N12" s="1727" t="s">
        <v>12</v>
      </c>
      <c r="O12" s="1727"/>
      <c r="P12" s="1727" t="s">
        <v>13</v>
      </c>
      <c r="Q12" s="1727"/>
      <c r="R12" s="1722"/>
      <c r="S12" s="1722"/>
      <c r="T12" s="1722"/>
      <c r="U12" s="1722"/>
      <c r="V12" s="1722"/>
      <c r="W12" s="1727"/>
      <c r="X12" s="1727"/>
    </row>
    <row r="13" spans="1:24" ht="19.5" customHeight="1" thickTop="1" thickBot="1">
      <c r="A13" s="1738"/>
      <c r="B13" s="1739"/>
      <c r="C13" s="1741"/>
      <c r="D13" s="1743"/>
      <c r="E13" s="1637" t="s">
        <v>14</v>
      </c>
      <c r="F13" s="1638" t="s">
        <v>15</v>
      </c>
      <c r="G13" s="1638" t="s">
        <v>16</v>
      </c>
      <c r="H13" s="1637" t="s">
        <v>14</v>
      </c>
      <c r="I13" s="1638" t="s">
        <v>15</v>
      </c>
      <c r="J13" s="1638" t="s">
        <v>16</v>
      </c>
      <c r="K13" s="1637" t="s">
        <v>14</v>
      </c>
      <c r="L13" s="1639" t="s">
        <v>15</v>
      </c>
      <c r="M13" s="1640" t="s">
        <v>16</v>
      </c>
      <c r="N13" s="1641" t="s">
        <v>4</v>
      </c>
      <c r="O13" s="1638" t="s">
        <v>16</v>
      </c>
      <c r="P13" s="1637" t="s">
        <v>4</v>
      </c>
      <c r="Q13" s="1642" t="s">
        <v>17</v>
      </c>
      <c r="R13" s="1356" t="s">
        <v>4</v>
      </c>
      <c r="S13" s="1355" t="s">
        <v>15</v>
      </c>
      <c r="T13" s="1355" t="s">
        <v>16</v>
      </c>
      <c r="U13" s="1356" t="s">
        <v>4</v>
      </c>
      <c r="V13" s="644" t="s">
        <v>18</v>
      </c>
      <c r="W13" s="1356" t="s">
        <v>4</v>
      </c>
      <c r="X13" s="644" t="s">
        <v>18</v>
      </c>
    </row>
    <row r="14" spans="1:24" ht="16.5" thickTop="1" thickBot="1">
      <c r="A14" s="1643" t="s">
        <v>19</v>
      </c>
      <c r="B14" s="1644" t="s">
        <v>20</v>
      </c>
      <c r="C14" s="1645" t="s">
        <v>21</v>
      </c>
      <c r="D14" s="1514">
        <f>H14+K14</f>
        <v>1436.3929999999996</v>
      </c>
      <c r="E14" s="1514">
        <f>E17+E24+E35+E37+E40+E42+E44+E46+E48+E50+E52+E54+E56+E58+E60+E62+E64+E66+E68+E70+E72</f>
        <v>0</v>
      </c>
      <c r="F14" s="1514">
        <f>F17+F24+F35+F37+F40+F42+F44+F46+F48+F50+F52+F54+F56+F58+F60+F62+F64+F66+F68+F70+F72</f>
        <v>0</v>
      </c>
      <c r="G14" s="1514">
        <f>G17+G24+G35+G37+G40+G42+G44+G46+G48+G50+G52+G54+G56+G58+G60+G62+G64+G66+G68+G70+G72</f>
        <v>0</v>
      </c>
      <c r="H14" s="1623">
        <f>H17+H35+H37+H40+H44+H52+H56+H46</f>
        <v>1240.6959999999997</v>
      </c>
      <c r="I14" s="1646">
        <f>I17+I35+I37+I40+I44+I46+I52+I56</f>
        <v>1240.6959999999997</v>
      </c>
      <c r="J14" s="1647"/>
      <c r="K14" s="1648">
        <f>K35+K40+K56</f>
        <v>195.697</v>
      </c>
      <c r="L14" s="1648">
        <f>L35+L40+L56</f>
        <v>195.697</v>
      </c>
      <c r="M14" s="1646"/>
      <c r="N14" s="1318">
        <v>0</v>
      </c>
      <c r="O14" s="1319">
        <v>0</v>
      </c>
      <c r="P14" s="1319">
        <v>0</v>
      </c>
      <c r="Q14" s="1319">
        <v>0</v>
      </c>
      <c r="R14" s="1319">
        <v>0</v>
      </c>
      <c r="S14" s="1319">
        <v>0</v>
      </c>
      <c r="T14" s="1319">
        <v>0</v>
      </c>
      <c r="U14" s="1319">
        <v>0</v>
      </c>
      <c r="V14" s="1319">
        <v>0</v>
      </c>
      <c r="W14" s="1319">
        <v>0</v>
      </c>
      <c r="X14" s="1319">
        <v>0</v>
      </c>
    </row>
    <row r="15" spans="1:24" ht="21.75" customHeight="1" thickTop="1" thickBot="1">
      <c r="A15" s="1735">
        <v>1</v>
      </c>
      <c r="B15" s="810" t="s">
        <v>22</v>
      </c>
      <c r="C15" s="1667" t="s">
        <v>23</v>
      </c>
      <c r="D15" s="1319">
        <f t="shared" ref="D15:D72" si="0">H15+K15</f>
        <v>10</v>
      </c>
      <c r="E15" s="1319">
        <f>F15+G15</f>
        <v>0</v>
      </c>
      <c r="F15" s="1668"/>
      <c r="G15" s="1669"/>
      <c r="H15" s="1379">
        <f>I15</f>
        <v>10</v>
      </c>
      <c r="I15" s="1446">
        <v>10</v>
      </c>
      <c r="J15" s="1358"/>
      <c r="K15" s="1384">
        <v>0</v>
      </c>
      <c r="L15" s="1384">
        <v>0</v>
      </c>
      <c r="M15" s="1446"/>
      <c r="N15" s="1480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</row>
    <row r="16" spans="1:24" ht="15.75" thickBot="1">
      <c r="A16" s="1736"/>
      <c r="B16" s="1670"/>
      <c r="C16" s="1671" t="s">
        <v>24</v>
      </c>
      <c r="D16" s="1427">
        <f t="shared" ref="D16:D21" si="1">K16+H16</f>
        <v>0.129</v>
      </c>
      <c r="E16" s="1427">
        <f t="shared" ref="E16:E79" si="2">F16+G16</f>
        <v>0</v>
      </c>
      <c r="F16" s="1493">
        <f>F18+F20+F22</f>
        <v>0</v>
      </c>
      <c r="G16" s="1493">
        <f>G18+G20+G22</f>
        <v>0</v>
      </c>
      <c r="H16" s="1419">
        <f>H18</f>
        <v>0.129</v>
      </c>
      <c r="I16" s="1494">
        <f>I18</f>
        <v>0.129</v>
      </c>
      <c r="J16" s="1672"/>
      <c r="K16" s="1468">
        <v>0</v>
      </c>
      <c r="L16" s="1468">
        <v>0</v>
      </c>
      <c r="M16" s="1494"/>
      <c r="N16" s="782">
        <f t="shared" ref="N16:X17" si="3">N18+N20</f>
        <v>0</v>
      </c>
      <c r="O16" s="694">
        <f t="shared" si="3"/>
        <v>0</v>
      </c>
      <c r="P16" s="694">
        <f t="shared" si="3"/>
        <v>0</v>
      </c>
      <c r="Q16" s="694">
        <f t="shared" si="3"/>
        <v>0</v>
      </c>
      <c r="R16" s="694">
        <f t="shared" si="3"/>
        <v>0</v>
      </c>
      <c r="S16" s="694">
        <f t="shared" si="3"/>
        <v>0</v>
      </c>
      <c r="T16" s="694">
        <f t="shared" si="3"/>
        <v>0</v>
      </c>
      <c r="U16" s="694">
        <f t="shared" si="3"/>
        <v>0</v>
      </c>
      <c r="V16" s="694">
        <f t="shared" si="3"/>
        <v>0</v>
      </c>
      <c r="W16" s="694">
        <f t="shared" si="3"/>
        <v>0</v>
      </c>
      <c r="X16" s="694">
        <f t="shared" si="3"/>
        <v>0</v>
      </c>
    </row>
    <row r="17" spans="1:24" ht="15.75" thickBot="1">
      <c r="A17" s="1737"/>
      <c r="B17" s="1673" t="s">
        <v>25</v>
      </c>
      <c r="C17" s="1649" t="s">
        <v>21</v>
      </c>
      <c r="D17" s="1432">
        <f t="shared" si="1"/>
        <v>297.315</v>
      </c>
      <c r="E17" s="1432">
        <f t="shared" si="2"/>
        <v>0</v>
      </c>
      <c r="F17" s="1497">
        <f>F19+F21</f>
        <v>0</v>
      </c>
      <c r="G17" s="1674">
        <f>G19+G21</f>
        <v>0</v>
      </c>
      <c r="H17" s="1675">
        <f>I17</f>
        <v>297.315</v>
      </c>
      <c r="I17" s="1569">
        <f>I19</f>
        <v>297.315</v>
      </c>
      <c r="J17" s="1676"/>
      <c r="K17" s="1470">
        <v>0</v>
      </c>
      <c r="L17" s="1470">
        <v>0</v>
      </c>
      <c r="M17" s="1569"/>
      <c r="N17" s="1481">
        <f t="shared" si="3"/>
        <v>0</v>
      </c>
      <c r="O17" s="698">
        <f t="shared" si="3"/>
        <v>0</v>
      </c>
      <c r="P17" s="698">
        <f t="shared" si="3"/>
        <v>0</v>
      </c>
      <c r="Q17" s="698">
        <f t="shared" si="3"/>
        <v>0</v>
      </c>
      <c r="R17" s="698">
        <f t="shared" si="3"/>
        <v>0</v>
      </c>
      <c r="S17" s="698">
        <f t="shared" si="3"/>
        <v>0</v>
      </c>
      <c r="T17" s="698">
        <f t="shared" si="3"/>
        <v>0</v>
      </c>
      <c r="U17" s="698">
        <f t="shared" si="3"/>
        <v>0</v>
      </c>
      <c r="V17" s="698">
        <f t="shared" si="3"/>
        <v>0</v>
      </c>
      <c r="W17" s="698">
        <f t="shared" si="3"/>
        <v>0</v>
      </c>
      <c r="X17" s="698">
        <f t="shared" si="3"/>
        <v>0</v>
      </c>
    </row>
    <row r="18" spans="1:24">
      <c r="A18" s="1652" t="s">
        <v>26</v>
      </c>
      <c r="B18" s="1653" t="s">
        <v>27</v>
      </c>
      <c r="C18" s="1653" t="s">
        <v>24</v>
      </c>
      <c r="D18" s="1426">
        <f t="shared" si="1"/>
        <v>0.129</v>
      </c>
      <c r="E18" s="1427">
        <f t="shared" si="2"/>
        <v>0</v>
      </c>
      <c r="F18" s="1428"/>
      <c r="G18" s="1429"/>
      <c r="H18" s="1475">
        <f>I18</f>
        <v>0.129</v>
      </c>
      <c r="I18" s="1476">
        <v>0.129</v>
      </c>
      <c r="J18" s="1466"/>
      <c r="K18" s="1468">
        <v>0</v>
      </c>
      <c r="L18" s="1468">
        <v>0</v>
      </c>
      <c r="M18" s="1386"/>
      <c r="N18" s="1481">
        <f t="shared" ref="N18:N33" si="4">O18</f>
        <v>0</v>
      </c>
      <c r="O18" s="787"/>
      <c r="P18" s="1326">
        <f t="shared" ref="P18:P72" si="5">Q18</f>
        <v>0</v>
      </c>
      <c r="Q18" s="691"/>
      <c r="R18" s="701">
        <f t="shared" ref="R18:R72" si="6">S18+T18</f>
        <v>0</v>
      </c>
      <c r="S18" s="691"/>
      <c r="T18" s="691"/>
      <c r="U18" s="701">
        <f t="shared" ref="U18:U72" si="7">V18</f>
        <v>0</v>
      </c>
      <c r="V18" s="691"/>
      <c r="W18" s="701">
        <f t="shared" ref="W18:W40" si="8">X18</f>
        <v>0</v>
      </c>
      <c r="X18" s="691"/>
    </row>
    <row r="19" spans="1:24" ht="15.75" thickBot="1">
      <c r="A19" s="1654"/>
      <c r="B19" s="1655"/>
      <c r="C19" s="1655" t="s">
        <v>21</v>
      </c>
      <c r="D19" s="1431">
        <f t="shared" si="1"/>
        <v>297.315</v>
      </c>
      <c r="E19" s="1432">
        <f t="shared" si="2"/>
        <v>0</v>
      </c>
      <c r="F19" s="1433"/>
      <c r="G19" s="1434"/>
      <c r="H19" s="1418">
        <f>I19</f>
        <v>297.315</v>
      </c>
      <c r="I19" s="1380">
        <v>297.315</v>
      </c>
      <c r="J19" s="1469"/>
      <c r="K19" s="1470">
        <v>0</v>
      </c>
      <c r="L19" s="1470">
        <v>0</v>
      </c>
      <c r="M19" s="1380"/>
      <c r="N19" s="1482">
        <f t="shared" si="4"/>
        <v>0</v>
      </c>
      <c r="O19" s="690"/>
      <c r="P19" s="701">
        <f t="shared" si="5"/>
        <v>0</v>
      </c>
      <c r="Q19" s="691"/>
      <c r="R19" s="701">
        <f t="shared" si="6"/>
        <v>0</v>
      </c>
      <c r="S19" s="691"/>
      <c r="T19" s="691"/>
      <c r="U19" s="701">
        <f t="shared" si="7"/>
        <v>0</v>
      </c>
      <c r="V19" s="691"/>
      <c r="W19" s="701">
        <f t="shared" si="8"/>
        <v>0</v>
      </c>
      <c r="X19" s="691"/>
    </row>
    <row r="20" spans="1:24">
      <c r="A20" s="783" t="s">
        <v>28</v>
      </c>
      <c r="B20" s="783" t="s">
        <v>29</v>
      </c>
      <c r="C20" s="783" t="s">
        <v>24</v>
      </c>
      <c r="D20" s="1612">
        <f t="shared" si="1"/>
        <v>0</v>
      </c>
      <c r="E20" s="1421">
        <f t="shared" si="2"/>
        <v>0</v>
      </c>
      <c r="F20" s="1422"/>
      <c r="G20" s="1423"/>
      <c r="H20" s="1425">
        <v>0</v>
      </c>
      <c r="I20" s="1707">
        <v>0</v>
      </c>
      <c r="J20" s="1651"/>
      <c r="K20" s="1478">
        <v>0</v>
      </c>
      <c r="L20" s="1478">
        <v>0</v>
      </c>
      <c r="M20" s="1383"/>
      <c r="N20" s="1482">
        <f t="shared" si="4"/>
        <v>0</v>
      </c>
      <c r="O20" s="690"/>
      <c r="P20" s="701">
        <f t="shared" si="5"/>
        <v>0</v>
      </c>
      <c r="Q20" s="691"/>
      <c r="R20" s="701">
        <f t="shared" si="6"/>
        <v>0</v>
      </c>
      <c r="S20" s="691"/>
      <c r="T20" s="691"/>
      <c r="U20" s="701">
        <f t="shared" si="7"/>
        <v>0</v>
      </c>
      <c r="V20" s="691"/>
      <c r="W20" s="701">
        <f t="shared" si="8"/>
        <v>0</v>
      </c>
      <c r="X20" s="691"/>
    </row>
    <row r="21" spans="1:24" ht="15.75" thickBot="1">
      <c r="A21" s="709"/>
      <c r="B21" s="709"/>
      <c r="C21" s="1448" t="s">
        <v>21</v>
      </c>
      <c r="D21" s="1431">
        <f t="shared" si="1"/>
        <v>0</v>
      </c>
      <c r="E21" s="1432">
        <f t="shared" si="2"/>
        <v>0</v>
      </c>
      <c r="F21" s="1433"/>
      <c r="G21" s="1434"/>
      <c r="H21" s="1418">
        <v>0</v>
      </c>
      <c r="I21" s="1380">
        <v>0</v>
      </c>
      <c r="J21" s="1469"/>
      <c r="K21" s="1470">
        <v>0</v>
      </c>
      <c r="L21" s="1470">
        <v>0</v>
      </c>
      <c r="M21" s="1380"/>
      <c r="N21" s="1483">
        <f t="shared" si="4"/>
        <v>0</v>
      </c>
      <c r="O21" s="690"/>
      <c r="P21" s="864">
        <f t="shared" si="5"/>
        <v>0</v>
      </c>
      <c r="Q21" s="691"/>
      <c r="R21" s="864">
        <f t="shared" si="6"/>
        <v>0</v>
      </c>
      <c r="S21" s="691"/>
      <c r="T21" s="691"/>
      <c r="U21" s="864">
        <f t="shared" si="7"/>
        <v>0</v>
      </c>
      <c r="V21" s="691"/>
      <c r="W21" s="864">
        <f t="shared" si="8"/>
        <v>0</v>
      </c>
      <c r="X21" s="691"/>
    </row>
    <row r="22" spans="1:24" ht="15.75" thickBot="1">
      <c r="A22" s="684" t="s">
        <v>30</v>
      </c>
      <c r="B22" s="684" t="s">
        <v>31</v>
      </c>
      <c r="C22" s="816" t="s">
        <v>21</v>
      </c>
      <c r="D22" s="1319">
        <f t="shared" si="0"/>
        <v>0</v>
      </c>
      <c r="E22" s="1319">
        <f t="shared" si="2"/>
        <v>0</v>
      </c>
      <c r="F22" s="743">
        <v>0</v>
      </c>
      <c r="G22" s="1467">
        <v>0</v>
      </c>
      <c r="H22" s="1379">
        <v>0</v>
      </c>
      <c r="I22" s="1412">
        <v>0</v>
      </c>
      <c r="J22" s="1462"/>
      <c r="K22" s="1384">
        <v>0</v>
      </c>
      <c r="L22" s="1477">
        <v>0</v>
      </c>
      <c r="M22" s="1412"/>
      <c r="N22" s="689">
        <f t="shared" si="4"/>
        <v>0</v>
      </c>
      <c r="O22" s="690"/>
      <c r="P22" s="689">
        <f t="shared" si="5"/>
        <v>0</v>
      </c>
      <c r="Q22" s="691"/>
      <c r="R22" s="689">
        <f t="shared" si="6"/>
        <v>0</v>
      </c>
      <c r="S22" s="691"/>
      <c r="T22" s="691"/>
      <c r="U22" s="689">
        <f t="shared" si="7"/>
        <v>0</v>
      </c>
      <c r="V22" s="691"/>
      <c r="W22" s="689">
        <f t="shared" si="8"/>
        <v>0</v>
      </c>
      <c r="X22" s="691"/>
    </row>
    <row r="23" spans="1:24">
      <c r="A23" s="1682" t="s">
        <v>218</v>
      </c>
      <c r="B23" s="1678" t="s">
        <v>32</v>
      </c>
      <c r="C23" s="1679" t="s">
        <v>33</v>
      </c>
      <c r="D23" s="1396">
        <f>H23+K23</f>
        <v>0</v>
      </c>
      <c r="E23" s="1396">
        <f t="shared" si="2"/>
        <v>0</v>
      </c>
      <c r="F23" s="1422"/>
      <c r="G23" s="1423"/>
      <c r="H23" s="1409">
        <v>0</v>
      </c>
      <c r="I23" s="1386">
        <v>0</v>
      </c>
      <c r="J23" s="1466"/>
      <c r="K23" s="1451">
        <v>0</v>
      </c>
      <c r="L23" s="1468">
        <v>0</v>
      </c>
      <c r="M23" s="1411"/>
      <c r="N23" s="1333">
        <f t="shared" si="4"/>
        <v>0</v>
      </c>
      <c r="O23" s="690"/>
      <c r="P23" s="1333">
        <f t="shared" si="5"/>
        <v>0</v>
      </c>
      <c r="Q23" s="691"/>
      <c r="R23" s="1333">
        <f t="shared" si="6"/>
        <v>0</v>
      </c>
      <c r="S23" s="691"/>
      <c r="T23" s="691"/>
      <c r="U23" s="1333">
        <f t="shared" si="7"/>
        <v>0</v>
      </c>
      <c r="V23" s="691"/>
      <c r="W23" s="1333">
        <f t="shared" si="8"/>
        <v>0</v>
      </c>
      <c r="X23" s="691"/>
    </row>
    <row r="24" spans="1:24" ht="15.75" thickBot="1">
      <c r="A24" s="695"/>
      <c r="B24" s="696" t="s">
        <v>34</v>
      </c>
      <c r="C24" s="1334" t="s">
        <v>21</v>
      </c>
      <c r="D24" s="1319">
        <f t="shared" si="0"/>
        <v>0</v>
      </c>
      <c r="E24" s="1319">
        <f t="shared" si="2"/>
        <v>0</v>
      </c>
      <c r="F24" s="1331"/>
      <c r="G24" s="1332"/>
      <c r="H24" s="1379">
        <v>0</v>
      </c>
      <c r="I24" s="1391">
        <v>0</v>
      </c>
      <c r="J24" s="1392"/>
      <c r="K24" s="1461">
        <v>0</v>
      </c>
      <c r="L24" s="1470">
        <v>0</v>
      </c>
      <c r="M24" s="1376"/>
      <c r="N24" s="1482">
        <f t="shared" si="4"/>
        <v>0</v>
      </c>
      <c r="O24" s="690"/>
      <c r="P24" s="701">
        <f t="shared" si="5"/>
        <v>0</v>
      </c>
      <c r="Q24" s="691"/>
      <c r="R24" s="701">
        <f t="shared" si="6"/>
        <v>0</v>
      </c>
      <c r="S24" s="691"/>
      <c r="T24" s="691"/>
      <c r="U24" s="701">
        <f t="shared" si="7"/>
        <v>0</v>
      </c>
      <c r="V24" s="691"/>
      <c r="W24" s="701">
        <f t="shared" si="8"/>
        <v>0</v>
      </c>
      <c r="X24" s="691"/>
    </row>
    <row r="25" spans="1:24">
      <c r="A25" s="702" t="s">
        <v>35</v>
      </c>
      <c r="B25" s="692" t="s">
        <v>36</v>
      </c>
      <c r="C25" s="809" t="s">
        <v>37</v>
      </c>
      <c r="D25" s="1396">
        <f t="shared" si="0"/>
        <v>0</v>
      </c>
      <c r="E25" s="1396">
        <f t="shared" si="2"/>
        <v>0</v>
      </c>
      <c r="F25" s="1397"/>
      <c r="G25" s="1398"/>
      <c r="H25" s="1399">
        <v>0</v>
      </c>
      <c r="I25" s="1386">
        <v>0</v>
      </c>
      <c r="J25" s="1387"/>
      <c r="K25" s="1451">
        <v>0</v>
      </c>
      <c r="L25" s="1468">
        <v>0</v>
      </c>
      <c r="M25" s="1411"/>
      <c r="N25" s="1482">
        <f t="shared" si="4"/>
        <v>0</v>
      </c>
      <c r="O25" s="690"/>
      <c r="P25" s="701">
        <f t="shared" si="5"/>
        <v>0</v>
      </c>
      <c r="Q25" s="691"/>
      <c r="R25" s="701">
        <f t="shared" si="6"/>
        <v>0</v>
      </c>
      <c r="S25" s="691"/>
      <c r="T25" s="691"/>
      <c r="U25" s="701">
        <f t="shared" si="7"/>
        <v>0</v>
      </c>
      <c r="V25" s="691"/>
      <c r="W25" s="701">
        <f t="shared" si="8"/>
        <v>0</v>
      </c>
      <c r="X25" s="691"/>
    </row>
    <row r="26" spans="1:24" ht="15.75" thickBot="1">
      <c r="A26" s="702"/>
      <c r="B26" s="692"/>
      <c r="C26" s="809" t="s">
        <v>21</v>
      </c>
      <c r="D26" s="1319">
        <f t="shared" si="0"/>
        <v>0</v>
      </c>
      <c r="E26" s="1319">
        <f t="shared" si="2"/>
        <v>0</v>
      </c>
      <c r="F26" s="1400"/>
      <c r="G26" s="1401"/>
      <c r="H26" s="1379">
        <v>0</v>
      </c>
      <c r="I26" s="1380">
        <v>0</v>
      </c>
      <c r="J26" s="1389"/>
      <c r="K26" s="1461">
        <v>0</v>
      </c>
      <c r="L26" s="1470">
        <v>0</v>
      </c>
      <c r="M26" s="1376"/>
      <c r="N26" s="1482">
        <f t="shared" si="4"/>
        <v>0</v>
      </c>
      <c r="O26" s="690"/>
      <c r="P26" s="701">
        <f t="shared" si="5"/>
        <v>0</v>
      </c>
      <c r="Q26" s="691"/>
      <c r="R26" s="701">
        <f t="shared" si="6"/>
        <v>0</v>
      </c>
      <c r="S26" s="691"/>
      <c r="T26" s="691"/>
      <c r="U26" s="701">
        <f t="shared" si="7"/>
        <v>0</v>
      </c>
      <c r="V26" s="691"/>
      <c r="W26" s="701">
        <f t="shared" si="8"/>
        <v>0</v>
      </c>
      <c r="X26" s="691"/>
    </row>
    <row r="27" spans="1:24" ht="20.25" customHeight="1">
      <c r="A27" s="1677" t="s">
        <v>38</v>
      </c>
      <c r="B27" s="1680" t="s">
        <v>39</v>
      </c>
      <c r="C27" s="1681" t="s">
        <v>40</v>
      </c>
      <c r="D27" s="1426">
        <f t="shared" si="0"/>
        <v>0</v>
      </c>
      <c r="E27" s="1427">
        <f t="shared" si="2"/>
        <v>0</v>
      </c>
      <c r="F27" s="1428"/>
      <c r="G27" s="1429"/>
      <c r="H27" s="1430">
        <f t="shared" ref="H27:H28" si="9">I27</f>
        <v>0</v>
      </c>
      <c r="I27" s="1386">
        <v>0</v>
      </c>
      <c r="J27" s="1466"/>
      <c r="K27" s="1451">
        <v>0</v>
      </c>
      <c r="L27" s="1468">
        <v>0</v>
      </c>
      <c r="M27" s="1411"/>
      <c r="N27" s="1482">
        <f t="shared" si="4"/>
        <v>0</v>
      </c>
      <c r="O27" s="690"/>
      <c r="P27" s="701">
        <f t="shared" si="5"/>
        <v>0</v>
      </c>
      <c r="Q27" s="691"/>
      <c r="R27" s="701">
        <f t="shared" si="6"/>
        <v>0</v>
      </c>
      <c r="S27" s="691"/>
      <c r="T27" s="691"/>
      <c r="U27" s="701">
        <f t="shared" si="7"/>
        <v>0</v>
      </c>
      <c r="V27" s="691"/>
      <c r="W27" s="701">
        <f t="shared" si="8"/>
        <v>0</v>
      </c>
      <c r="X27" s="691"/>
    </row>
    <row r="28" spans="1:24" ht="17.25" customHeight="1" thickBot="1">
      <c r="A28" s="695"/>
      <c r="B28" s="869" t="s">
        <v>41</v>
      </c>
      <c r="C28" s="695" t="s">
        <v>21</v>
      </c>
      <c r="D28" s="1431">
        <f t="shared" si="0"/>
        <v>0</v>
      </c>
      <c r="E28" s="1432">
        <f t="shared" si="2"/>
        <v>0</v>
      </c>
      <c r="F28" s="1433"/>
      <c r="G28" s="1434"/>
      <c r="H28" s="1418">
        <f t="shared" si="9"/>
        <v>0</v>
      </c>
      <c r="I28" s="1391">
        <v>0</v>
      </c>
      <c r="J28" s="1392"/>
      <c r="K28" s="1461">
        <v>0</v>
      </c>
      <c r="L28" s="1470">
        <v>0</v>
      </c>
      <c r="M28" s="1376"/>
      <c r="N28" s="1482">
        <f t="shared" si="4"/>
        <v>0</v>
      </c>
      <c r="O28" s="690"/>
      <c r="P28" s="701">
        <f t="shared" si="5"/>
        <v>0</v>
      </c>
      <c r="Q28" s="691"/>
      <c r="R28" s="701">
        <f t="shared" si="6"/>
        <v>0</v>
      </c>
      <c r="S28" s="691"/>
      <c r="T28" s="691"/>
      <c r="U28" s="701">
        <f t="shared" si="7"/>
        <v>0</v>
      </c>
      <c r="V28" s="691"/>
      <c r="W28" s="701">
        <f t="shared" si="8"/>
        <v>0</v>
      </c>
      <c r="X28" s="691"/>
    </row>
    <row r="29" spans="1:24">
      <c r="A29" s="1677" t="s">
        <v>42</v>
      </c>
      <c r="B29" s="1678" t="s">
        <v>43</v>
      </c>
      <c r="C29" s="1679" t="s">
        <v>40</v>
      </c>
      <c r="D29" s="1421">
        <f t="shared" si="0"/>
        <v>0</v>
      </c>
      <c r="E29" s="1421">
        <f t="shared" si="2"/>
        <v>0</v>
      </c>
      <c r="F29" s="1422"/>
      <c r="G29" s="1423"/>
      <c r="H29" s="1425">
        <v>0</v>
      </c>
      <c r="I29" s="1383">
        <v>0</v>
      </c>
      <c r="J29" s="1374"/>
      <c r="K29" s="1465">
        <v>0</v>
      </c>
      <c r="L29" s="1478">
        <v>0</v>
      </c>
      <c r="M29" s="1385"/>
      <c r="N29" s="1482">
        <f t="shared" si="4"/>
        <v>0</v>
      </c>
      <c r="O29" s="690"/>
      <c r="P29" s="701">
        <f t="shared" si="5"/>
        <v>0</v>
      </c>
      <c r="Q29" s="691"/>
      <c r="R29" s="701">
        <f t="shared" si="6"/>
        <v>0</v>
      </c>
      <c r="S29" s="691"/>
      <c r="T29" s="691"/>
      <c r="U29" s="701">
        <f t="shared" si="7"/>
        <v>0</v>
      </c>
      <c r="V29" s="691"/>
      <c r="W29" s="701">
        <f t="shared" si="8"/>
        <v>0</v>
      </c>
      <c r="X29" s="691"/>
    </row>
    <row r="30" spans="1:24" ht="15.75" thickBot="1">
      <c r="A30" s="695"/>
      <c r="B30" s="696" t="s">
        <v>44</v>
      </c>
      <c r="C30" s="1334" t="s">
        <v>21</v>
      </c>
      <c r="D30" s="1319">
        <f t="shared" si="0"/>
        <v>0</v>
      </c>
      <c r="E30" s="1319">
        <f t="shared" si="2"/>
        <v>0</v>
      </c>
      <c r="F30" s="1331"/>
      <c r="G30" s="1332"/>
      <c r="H30" s="1379">
        <v>0</v>
      </c>
      <c r="I30" s="1380">
        <v>0</v>
      </c>
      <c r="J30" s="1389"/>
      <c r="K30" s="1461">
        <v>0</v>
      </c>
      <c r="L30" s="1470">
        <v>0</v>
      </c>
      <c r="M30" s="1376"/>
      <c r="N30" s="1482">
        <f t="shared" si="4"/>
        <v>0</v>
      </c>
      <c r="O30" s="690"/>
      <c r="P30" s="701">
        <f t="shared" si="5"/>
        <v>0</v>
      </c>
      <c r="Q30" s="691"/>
      <c r="R30" s="701">
        <f t="shared" si="6"/>
        <v>0</v>
      </c>
      <c r="S30" s="691"/>
      <c r="T30" s="691"/>
      <c r="U30" s="701">
        <f t="shared" si="7"/>
        <v>0</v>
      </c>
      <c r="V30" s="691"/>
      <c r="W30" s="701">
        <f t="shared" si="8"/>
        <v>0</v>
      </c>
      <c r="X30" s="691"/>
    </row>
    <row r="31" spans="1:24" ht="12" customHeight="1">
      <c r="A31" s="1677" t="s">
        <v>45</v>
      </c>
      <c r="B31" s="1678" t="s">
        <v>46</v>
      </c>
      <c r="C31" s="1679" t="s">
        <v>47</v>
      </c>
      <c r="D31" s="1396">
        <f t="shared" si="0"/>
        <v>0</v>
      </c>
      <c r="E31" s="1396">
        <f t="shared" si="2"/>
        <v>0</v>
      </c>
      <c r="F31" s="1397"/>
      <c r="G31" s="1398"/>
      <c r="H31" s="1409">
        <v>0</v>
      </c>
      <c r="I31" s="1386">
        <v>0</v>
      </c>
      <c r="J31" s="1452"/>
      <c r="K31" s="1463">
        <v>0</v>
      </c>
      <c r="L31" s="1468">
        <v>0</v>
      </c>
      <c r="M31" s="1386"/>
      <c r="N31" s="1482">
        <f t="shared" si="4"/>
        <v>0</v>
      </c>
      <c r="O31" s="690"/>
      <c r="P31" s="701">
        <f t="shared" si="5"/>
        <v>0</v>
      </c>
      <c r="Q31" s="691"/>
      <c r="R31" s="701">
        <f t="shared" si="6"/>
        <v>0</v>
      </c>
      <c r="S31" s="691"/>
      <c r="T31" s="691"/>
      <c r="U31" s="701">
        <f t="shared" si="7"/>
        <v>0</v>
      </c>
      <c r="V31" s="691"/>
      <c r="W31" s="701">
        <f t="shared" si="8"/>
        <v>0</v>
      </c>
      <c r="X31" s="691"/>
    </row>
    <row r="32" spans="1:24" ht="11.25" customHeight="1" thickBot="1">
      <c r="A32" s="695"/>
      <c r="B32" s="696"/>
      <c r="C32" s="809" t="s">
        <v>21</v>
      </c>
      <c r="D32" s="1319">
        <f t="shared" si="0"/>
        <v>0</v>
      </c>
      <c r="E32" s="1319">
        <f t="shared" si="2"/>
        <v>0</v>
      </c>
      <c r="F32" s="1331"/>
      <c r="G32" s="1332"/>
      <c r="H32" s="1379">
        <v>0</v>
      </c>
      <c r="I32" s="1391">
        <v>0</v>
      </c>
      <c r="J32" s="1392"/>
      <c r="K32" s="1461">
        <v>0</v>
      </c>
      <c r="L32" s="1479">
        <v>0</v>
      </c>
      <c r="M32" s="1391"/>
      <c r="N32" s="1482">
        <f t="shared" si="4"/>
        <v>0</v>
      </c>
      <c r="O32" s="690"/>
      <c r="P32" s="701">
        <f t="shared" si="5"/>
        <v>0</v>
      </c>
      <c r="Q32" s="691"/>
      <c r="R32" s="701">
        <f t="shared" si="6"/>
        <v>0</v>
      </c>
      <c r="S32" s="691"/>
      <c r="T32" s="691"/>
      <c r="U32" s="701">
        <f t="shared" si="7"/>
        <v>0</v>
      </c>
      <c r="V32" s="691"/>
      <c r="W32" s="701">
        <f t="shared" si="8"/>
        <v>0</v>
      </c>
      <c r="X32" s="691"/>
    </row>
    <row r="33" spans="1:24" ht="28.5" customHeight="1" thickBot="1">
      <c r="A33" s="695" t="s">
        <v>48</v>
      </c>
      <c r="B33" s="706" t="s">
        <v>49</v>
      </c>
      <c r="C33" s="816" t="s">
        <v>21</v>
      </c>
      <c r="D33" s="1317">
        <f>H33</f>
        <v>0</v>
      </c>
      <c r="E33" s="1317">
        <f t="shared" si="2"/>
        <v>0</v>
      </c>
      <c r="F33" s="699"/>
      <c r="G33" s="700"/>
      <c r="H33" s="1324">
        <f t="shared" ref="H33:H40" si="10">I33</f>
        <v>0</v>
      </c>
      <c r="I33" s="1412">
        <v>0</v>
      </c>
      <c r="J33" s="1462"/>
      <c r="K33" s="1384">
        <v>0</v>
      </c>
      <c r="L33" s="1477">
        <v>0</v>
      </c>
      <c r="M33" s="1412"/>
      <c r="N33" s="1482">
        <f t="shared" si="4"/>
        <v>0</v>
      </c>
      <c r="O33" s="690"/>
      <c r="P33" s="701">
        <f t="shared" si="5"/>
        <v>0</v>
      </c>
      <c r="Q33" s="691"/>
      <c r="R33" s="701">
        <f t="shared" si="6"/>
        <v>0</v>
      </c>
      <c r="S33" s="691"/>
      <c r="T33" s="691"/>
      <c r="U33" s="701">
        <f t="shared" si="7"/>
        <v>0</v>
      </c>
      <c r="V33" s="691"/>
      <c r="W33" s="701">
        <f t="shared" si="8"/>
        <v>0</v>
      </c>
      <c r="X33" s="691"/>
    </row>
    <row r="34" spans="1:24">
      <c r="A34" s="707" t="s">
        <v>321</v>
      </c>
      <c r="B34" s="708" t="s">
        <v>50</v>
      </c>
      <c r="C34" s="832" t="s">
        <v>51</v>
      </c>
      <c r="D34" s="1396">
        <f>H34+K34</f>
        <v>0.59500000000000008</v>
      </c>
      <c r="E34" s="1396">
        <f t="shared" si="2"/>
        <v>0</v>
      </c>
      <c r="F34" s="1397"/>
      <c r="G34" s="1398"/>
      <c r="H34" s="1399">
        <f t="shared" si="10"/>
        <v>0.49700000000000011</v>
      </c>
      <c r="I34" s="1411">
        <f>0.028+0.165+0.012+0.021+0.054+0.022+0.021+0.012+0.022+0.14</f>
        <v>0.49700000000000011</v>
      </c>
      <c r="J34" s="1387"/>
      <c r="K34" s="1451">
        <f>L34</f>
        <v>9.8000000000000004E-2</v>
      </c>
      <c r="L34" s="1459">
        <f>0.018+0.024+0.056</f>
        <v>9.8000000000000004E-2</v>
      </c>
      <c r="M34" s="1411"/>
      <c r="N34" s="1482">
        <v>0</v>
      </c>
      <c r="O34" s="690"/>
      <c r="P34" s="701">
        <f t="shared" si="5"/>
        <v>0</v>
      </c>
      <c r="Q34" s="691"/>
      <c r="R34" s="701">
        <f t="shared" si="6"/>
        <v>0</v>
      </c>
      <c r="S34" s="691"/>
      <c r="T34" s="691"/>
      <c r="U34" s="701">
        <f t="shared" si="7"/>
        <v>0</v>
      </c>
      <c r="V34" s="691"/>
      <c r="W34" s="701">
        <f t="shared" si="8"/>
        <v>0</v>
      </c>
      <c r="X34" s="691"/>
    </row>
    <row r="35" spans="1:24" ht="15.75" thickBot="1">
      <c r="A35" s="709"/>
      <c r="B35" s="710" t="s">
        <v>52</v>
      </c>
      <c r="C35" s="828" t="s">
        <v>21</v>
      </c>
      <c r="D35" s="1319">
        <f>H35+K35</f>
        <v>468.09999999999991</v>
      </c>
      <c r="E35" s="1319">
        <f t="shared" si="2"/>
        <v>0</v>
      </c>
      <c r="F35" s="1331"/>
      <c r="G35" s="1332"/>
      <c r="H35" s="1379">
        <f t="shared" si="10"/>
        <v>390.97799999999995</v>
      </c>
      <c r="I35" s="1376">
        <f>22.001+129.66+9.452+16.503+42.434+17.332+16.544+9.429+17.332+110.291</f>
        <v>390.97799999999995</v>
      </c>
      <c r="J35" s="1389"/>
      <c r="K35" s="1461">
        <f>L35</f>
        <v>77.121999999999986</v>
      </c>
      <c r="L35" s="1378">
        <f>14.145+18.86+44.117</f>
        <v>77.121999999999986</v>
      </c>
      <c r="M35" s="1376"/>
      <c r="N35" s="1482">
        <v>0</v>
      </c>
      <c r="O35" s="690"/>
      <c r="P35" s="701">
        <f t="shared" si="5"/>
        <v>0</v>
      </c>
      <c r="Q35" s="691"/>
      <c r="R35" s="701">
        <f t="shared" si="6"/>
        <v>0</v>
      </c>
      <c r="S35" s="691"/>
      <c r="T35" s="691"/>
      <c r="U35" s="701">
        <f t="shared" si="7"/>
        <v>0</v>
      </c>
      <c r="V35" s="691"/>
      <c r="W35" s="701">
        <f t="shared" si="8"/>
        <v>0</v>
      </c>
      <c r="X35" s="691"/>
    </row>
    <row r="36" spans="1:24">
      <c r="A36" s="711" t="s">
        <v>320</v>
      </c>
      <c r="B36" s="712" t="s">
        <v>53</v>
      </c>
      <c r="C36" s="808" t="s">
        <v>24</v>
      </c>
      <c r="D36" s="1396">
        <f>H36</f>
        <v>0.24</v>
      </c>
      <c r="E36" s="1396">
        <f t="shared" si="2"/>
        <v>0</v>
      </c>
      <c r="F36" s="1397"/>
      <c r="G36" s="1398"/>
      <c r="H36" s="1399">
        <f t="shared" si="10"/>
        <v>0.24</v>
      </c>
      <c r="I36" s="1411">
        <v>0.24</v>
      </c>
      <c r="J36" s="1387"/>
      <c r="K36" s="1451">
        <v>0</v>
      </c>
      <c r="L36" s="1459">
        <v>0</v>
      </c>
      <c r="M36" s="1411"/>
      <c r="N36" s="1481">
        <f t="shared" ref="N36:N72" si="11">O36</f>
        <v>0</v>
      </c>
      <c r="O36" s="715"/>
      <c r="P36" s="698">
        <f t="shared" si="5"/>
        <v>0</v>
      </c>
      <c r="Q36" s="694"/>
      <c r="R36" s="698">
        <f t="shared" si="6"/>
        <v>0</v>
      </c>
      <c r="S36" s="694"/>
      <c r="T36" s="694"/>
      <c r="U36" s="698">
        <f t="shared" si="7"/>
        <v>0</v>
      </c>
      <c r="V36" s="694"/>
      <c r="W36" s="698">
        <f t="shared" si="8"/>
        <v>0</v>
      </c>
      <c r="X36" s="694"/>
    </row>
    <row r="37" spans="1:24" ht="15.75" thickBot="1">
      <c r="A37" s="716"/>
      <c r="B37" s="717"/>
      <c r="C37" s="790" t="s">
        <v>21</v>
      </c>
      <c r="D37" s="1319">
        <f t="shared" si="0"/>
        <v>149.85</v>
      </c>
      <c r="E37" s="1319">
        <f t="shared" si="2"/>
        <v>0</v>
      </c>
      <c r="F37" s="1331"/>
      <c r="G37" s="1332"/>
      <c r="H37" s="1395">
        <f t="shared" si="10"/>
        <v>149.85</v>
      </c>
      <c r="I37" s="1376">
        <v>149.85</v>
      </c>
      <c r="J37" s="1389"/>
      <c r="K37" s="1461">
        <v>0</v>
      </c>
      <c r="L37" s="1378">
        <v>0</v>
      </c>
      <c r="M37" s="1376"/>
      <c r="N37" s="1481">
        <f t="shared" si="11"/>
        <v>0</v>
      </c>
      <c r="O37" s="719"/>
      <c r="P37" s="698">
        <f t="shared" si="5"/>
        <v>0</v>
      </c>
      <c r="Q37" s="720"/>
      <c r="R37" s="698">
        <f t="shared" si="6"/>
        <v>0</v>
      </c>
      <c r="S37" s="720"/>
      <c r="T37" s="720"/>
      <c r="U37" s="698">
        <f t="shared" si="7"/>
        <v>0</v>
      </c>
      <c r="V37" s="720"/>
      <c r="W37" s="698">
        <f t="shared" si="8"/>
        <v>0</v>
      </c>
      <c r="X37" s="720"/>
    </row>
    <row r="38" spans="1:24">
      <c r="A38" s="711" t="s">
        <v>319</v>
      </c>
      <c r="B38" s="712" t="s">
        <v>54</v>
      </c>
      <c r="C38" s="808" t="s">
        <v>24</v>
      </c>
      <c r="D38" s="1317">
        <f>H38+K38</f>
        <v>1.2989999999999999</v>
      </c>
      <c r="E38" s="1317">
        <f t="shared" si="2"/>
        <v>0</v>
      </c>
      <c r="F38" s="1402"/>
      <c r="G38" s="1403"/>
      <c r="H38" s="1404">
        <f t="shared" si="10"/>
        <v>0.86799999999999999</v>
      </c>
      <c r="I38" s="1411">
        <v>0.86799999999999999</v>
      </c>
      <c r="J38" s="1387"/>
      <c r="K38" s="1459">
        <f>L38</f>
        <v>0.43099999999999999</v>
      </c>
      <c r="L38" s="1411">
        <v>0.43099999999999999</v>
      </c>
      <c r="M38" s="1388"/>
      <c r="N38" s="714">
        <f t="shared" si="11"/>
        <v>0</v>
      </c>
      <c r="O38" s="721"/>
      <c r="P38" s="698">
        <f t="shared" si="5"/>
        <v>0</v>
      </c>
      <c r="Q38" s="722"/>
      <c r="R38" s="698">
        <f t="shared" si="6"/>
        <v>0</v>
      </c>
      <c r="S38" s="722"/>
      <c r="T38" s="722"/>
      <c r="U38" s="698">
        <f t="shared" si="7"/>
        <v>0</v>
      </c>
      <c r="V38" s="722"/>
      <c r="W38" s="698">
        <f t="shared" si="8"/>
        <v>0</v>
      </c>
      <c r="X38" s="722"/>
    </row>
    <row r="39" spans="1:24">
      <c r="A39" s="723"/>
      <c r="B39" s="710" t="s">
        <v>55</v>
      </c>
      <c r="C39" s="786" t="s">
        <v>56</v>
      </c>
      <c r="D39" s="1405">
        <f t="shared" si="0"/>
        <v>4</v>
      </c>
      <c r="E39" s="1405">
        <f t="shared" si="2"/>
        <v>0</v>
      </c>
      <c r="F39" s="1406"/>
      <c r="G39" s="1407"/>
      <c r="H39" s="1368">
        <f t="shared" si="10"/>
        <v>3</v>
      </c>
      <c r="I39" s="1369">
        <v>3</v>
      </c>
      <c r="J39" s="1375"/>
      <c r="K39" s="1377">
        <f>L39</f>
        <v>1</v>
      </c>
      <c r="L39" s="1369">
        <v>1</v>
      </c>
      <c r="M39" s="1460"/>
      <c r="N39" s="714">
        <f t="shared" si="11"/>
        <v>0</v>
      </c>
      <c r="O39" s="715"/>
      <c r="P39" s="698">
        <f t="shared" si="5"/>
        <v>0</v>
      </c>
      <c r="Q39" s="724"/>
      <c r="R39" s="698">
        <f t="shared" si="6"/>
        <v>0</v>
      </c>
      <c r="S39" s="724"/>
      <c r="T39" s="724"/>
      <c r="U39" s="698">
        <f t="shared" si="7"/>
        <v>0</v>
      </c>
      <c r="V39" s="724"/>
      <c r="W39" s="698">
        <f t="shared" si="8"/>
        <v>0</v>
      </c>
      <c r="X39" s="724"/>
    </row>
    <row r="40" spans="1:24" ht="15.75" thickBot="1">
      <c r="A40" s="725"/>
      <c r="B40" s="692"/>
      <c r="C40" s="809" t="s">
        <v>21</v>
      </c>
      <c r="D40" s="1319">
        <f t="shared" si="0"/>
        <v>380.85</v>
      </c>
      <c r="E40" s="1319">
        <f t="shared" si="2"/>
        <v>0</v>
      </c>
      <c r="F40" s="1400"/>
      <c r="G40" s="1401"/>
      <c r="H40" s="1332">
        <f t="shared" si="10"/>
        <v>278.04500000000002</v>
      </c>
      <c r="I40" s="1376">
        <v>278.04500000000002</v>
      </c>
      <c r="J40" s="1389"/>
      <c r="K40" s="1378">
        <f>L40</f>
        <v>102.80500000000001</v>
      </c>
      <c r="L40" s="1376">
        <v>102.80500000000001</v>
      </c>
      <c r="M40" s="1390"/>
      <c r="N40" s="729">
        <f t="shared" si="11"/>
        <v>0</v>
      </c>
      <c r="O40" s="730"/>
      <c r="P40" s="726">
        <f t="shared" si="5"/>
        <v>0</v>
      </c>
      <c r="Q40" s="726"/>
      <c r="R40" s="726">
        <f t="shared" si="6"/>
        <v>0</v>
      </c>
      <c r="S40" s="726"/>
      <c r="T40" s="726"/>
      <c r="U40" s="726">
        <f t="shared" si="7"/>
        <v>0</v>
      </c>
      <c r="V40" s="726"/>
      <c r="W40" s="726">
        <f t="shared" si="8"/>
        <v>0</v>
      </c>
      <c r="X40" s="726"/>
    </row>
    <row r="41" spans="1:24" ht="26.25" customHeight="1">
      <c r="A41" s="1683" t="s">
        <v>57</v>
      </c>
      <c r="B41" s="732" t="s">
        <v>58</v>
      </c>
      <c r="C41" s="808" t="s">
        <v>24</v>
      </c>
      <c r="D41" s="1396">
        <f>I41+L41</f>
        <v>0</v>
      </c>
      <c r="E41" s="1396">
        <f t="shared" si="2"/>
        <v>0</v>
      </c>
      <c r="F41" s="1438"/>
      <c r="G41" s="1439"/>
      <c r="H41" s="1399">
        <v>0</v>
      </c>
      <c r="I41" s="1411">
        <v>0</v>
      </c>
      <c r="J41" s="1387"/>
      <c r="K41" s="1459">
        <v>0</v>
      </c>
      <c r="L41" s="1411">
        <v>0</v>
      </c>
      <c r="M41" s="1388"/>
      <c r="N41" s="735">
        <f t="shared" si="11"/>
        <v>0</v>
      </c>
      <c r="O41" s="736"/>
      <c r="P41" s="722">
        <f t="shared" si="5"/>
        <v>0</v>
      </c>
      <c r="Q41" s="737"/>
      <c r="R41" s="722">
        <f t="shared" si="6"/>
        <v>0</v>
      </c>
      <c r="S41" s="737"/>
      <c r="T41" s="737"/>
      <c r="U41" s="722">
        <f t="shared" si="7"/>
        <v>0</v>
      </c>
      <c r="V41" s="737"/>
      <c r="W41" s="722"/>
      <c r="X41" s="737"/>
    </row>
    <row r="42" spans="1:24" ht="15.75" thickBot="1">
      <c r="A42" s="738"/>
      <c r="B42" s="739"/>
      <c r="C42" s="1334" t="s">
        <v>21</v>
      </c>
      <c r="D42" s="1319">
        <f>I42+L42</f>
        <v>0</v>
      </c>
      <c r="E42" s="1319">
        <f t="shared" si="2"/>
        <v>0</v>
      </c>
      <c r="F42" s="1400"/>
      <c r="G42" s="1401"/>
      <c r="H42" s="1379">
        <v>0</v>
      </c>
      <c r="I42" s="1376">
        <v>0</v>
      </c>
      <c r="J42" s="1389"/>
      <c r="K42" s="1378">
        <v>0</v>
      </c>
      <c r="L42" s="1376">
        <v>0</v>
      </c>
      <c r="M42" s="1390"/>
      <c r="N42" s="742">
        <f t="shared" si="11"/>
        <v>0</v>
      </c>
      <c r="O42" s="715"/>
      <c r="P42" s="720">
        <f t="shared" si="5"/>
        <v>0</v>
      </c>
      <c r="Q42" s="724"/>
      <c r="R42" s="720">
        <f t="shared" si="6"/>
        <v>0</v>
      </c>
      <c r="S42" s="743"/>
      <c r="T42" s="743"/>
      <c r="U42" s="720">
        <f t="shared" si="7"/>
        <v>0</v>
      </c>
      <c r="V42" s="743"/>
      <c r="W42" s="720"/>
      <c r="X42" s="743"/>
    </row>
    <row r="43" spans="1:24" ht="38.25" customHeight="1" thickBot="1">
      <c r="A43" s="711" t="s">
        <v>318</v>
      </c>
      <c r="B43" s="732" t="s">
        <v>59</v>
      </c>
      <c r="C43" s="795" t="s">
        <v>24</v>
      </c>
      <c r="D43" s="1713">
        <f t="shared" si="0"/>
        <v>4.5000000000000005E-2</v>
      </c>
      <c r="E43" s="1440">
        <f t="shared" si="2"/>
        <v>0</v>
      </c>
      <c r="F43" s="1441"/>
      <c r="G43" s="1442"/>
      <c r="H43" s="1442">
        <f>I43</f>
        <v>4.5000000000000005E-2</v>
      </c>
      <c r="I43" s="1411">
        <f>0.003+0.042</f>
        <v>4.5000000000000005E-2</v>
      </c>
      <c r="J43" s="1416"/>
      <c r="K43" s="1419">
        <v>0</v>
      </c>
      <c r="L43" s="1411">
        <v>0</v>
      </c>
      <c r="M43" s="1388"/>
      <c r="N43" s="745">
        <f t="shared" si="11"/>
        <v>0</v>
      </c>
      <c r="O43" s="690"/>
      <c r="P43" s="745">
        <f t="shared" si="5"/>
        <v>0</v>
      </c>
      <c r="Q43" s="691"/>
      <c r="R43" s="735">
        <f t="shared" si="6"/>
        <v>0</v>
      </c>
      <c r="S43" s="737"/>
      <c r="T43" s="737"/>
      <c r="U43" s="722">
        <f t="shared" si="7"/>
        <v>0</v>
      </c>
      <c r="V43" s="737"/>
      <c r="W43" s="722"/>
      <c r="X43" s="737"/>
    </row>
    <row r="44" spans="1:24" ht="15.75" thickBot="1">
      <c r="A44" s="746"/>
      <c r="B44" s="739"/>
      <c r="C44" s="695" t="s">
        <v>21</v>
      </c>
      <c r="D44" s="1431">
        <f t="shared" si="0"/>
        <v>5.4550000000000001</v>
      </c>
      <c r="E44" s="1443">
        <f t="shared" si="2"/>
        <v>0</v>
      </c>
      <c r="F44" s="1444"/>
      <c r="G44" s="1445"/>
      <c r="H44" s="1445">
        <f>I44</f>
        <v>5.4550000000000001</v>
      </c>
      <c r="I44" s="1376">
        <f>1.319+4.136</f>
        <v>5.4550000000000001</v>
      </c>
      <c r="J44" s="1417"/>
      <c r="K44" s="1418">
        <v>0</v>
      </c>
      <c r="L44" s="1376">
        <v>0</v>
      </c>
      <c r="M44" s="1390"/>
      <c r="N44" s="747">
        <f t="shared" si="11"/>
        <v>0</v>
      </c>
      <c r="O44" s="690"/>
      <c r="P44" s="747">
        <f t="shared" si="5"/>
        <v>0</v>
      </c>
      <c r="Q44" s="691"/>
      <c r="R44" s="742">
        <f t="shared" si="6"/>
        <v>0</v>
      </c>
      <c r="S44" s="743"/>
      <c r="T44" s="743"/>
      <c r="U44" s="720">
        <f t="shared" si="7"/>
        <v>0</v>
      </c>
      <c r="V44" s="743"/>
      <c r="W44" s="720"/>
      <c r="X44" s="743"/>
    </row>
    <row r="45" spans="1:24">
      <c r="A45" s="707" t="s">
        <v>322</v>
      </c>
      <c r="B45" s="712" t="s">
        <v>60</v>
      </c>
      <c r="C45" s="808" t="s">
        <v>47</v>
      </c>
      <c r="D45" s="1421">
        <f>I45+L45</f>
        <v>19</v>
      </c>
      <c r="E45" s="1421">
        <f t="shared" si="2"/>
        <v>0</v>
      </c>
      <c r="F45" s="1422"/>
      <c r="G45" s="1423"/>
      <c r="H45" s="1425">
        <f>I45</f>
        <v>19</v>
      </c>
      <c r="I45" s="1385">
        <f>2+2+2+4+4+3+2</f>
        <v>19</v>
      </c>
      <c r="J45" s="1361"/>
      <c r="K45" s="1425">
        <v>0</v>
      </c>
      <c r="L45" s="1385">
        <v>0</v>
      </c>
      <c r="M45" s="1415"/>
      <c r="N45" s="714">
        <f t="shared" si="11"/>
        <v>0</v>
      </c>
      <c r="O45" s="715"/>
      <c r="P45" s="698">
        <f t="shared" si="5"/>
        <v>0</v>
      </c>
      <c r="Q45" s="694"/>
      <c r="R45" s="698">
        <f t="shared" si="6"/>
        <v>0</v>
      </c>
      <c r="S45" s="722"/>
      <c r="T45" s="722"/>
      <c r="U45" s="698">
        <f t="shared" si="7"/>
        <v>0</v>
      </c>
      <c r="V45" s="722"/>
      <c r="W45" s="698">
        <f t="shared" ref="W45:W72" si="12">X45</f>
        <v>0</v>
      </c>
      <c r="X45" s="722"/>
    </row>
    <row r="46" spans="1:24" ht="15.75" thickBot="1">
      <c r="A46" s="717"/>
      <c r="B46" s="739" t="s">
        <v>61</v>
      </c>
      <c r="C46" s="790" t="s">
        <v>21</v>
      </c>
      <c r="D46" s="1319">
        <f>I46+L46</f>
        <v>15.241</v>
      </c>
      <c r="E46" s="1319">
        <f t="shared" si="2"/>
        <v>0</v>
      </c>
      <c r="F46" s="1331"/>
      <c r="G46" s="1332"/>
      <c r="H46" s="1379">
        <f>I46</f>
        <v>15.241</v>
      </c>
      <c r="I46" s="1376">
        <f>1.139+1.139+1.139+2.277+2.277+2.277+2.377+2.616</f>
        <v>15.241</v>
      </c>
      <c r="J46" s="1417"/>
      <c r="K46" s="1418">
        <v>0</v>
      </c>
      <c r="L46" s="1376">
        <v>0</v>
      </c>
      <c r="M46" s="1390"/>
      <c r="N46" s="714">
        <f t="shared" si="11"/>
        <v>0</v>
      </c>
      <c r="O46" s="719"/>
      <c r="P46" s="698">
        <f t="shared" si="5"/>
        <v>0</v>
      </c>
      <c r="Q46" s="720"/>
      <c r="R46" s="698">
        <f t="shared" si="6"/>
        <v>0</v>
      </c>
      <c r="S46" s="720"/>
      <c r="T46" s="720"/>
      <c r="U46" s="698">
        <f t="shared" si="7"/>
        <v>0</v>
      </c>
      <c r="V46" s="720"/>
      <c r="W46" s="698">
        <f t="shared" si="12"/>
        <v>0</v>
      </c>
      <c r="X46" s="720"/>
    </row>
    <row r="47" spans="1:24" ht="15.75" thickBot="1">
      <c r="A47" s="711" t="s">
        <v>323</v>
      </c>
      <c r="B47" s="708" t="s">
        <v>62</v>
      </c>
      <c r="C47" s="832" t="s">
        <v>47</v>
      </c>
      <c r="D47" s="1396">
        <f t="shared" si="0"/>
        <v>0</v>
      </c>
      <c r="E47" s="1396">
        <f t="shared" si="2"/>
        <v>0</v>
      </c>
      <c r="F47" s="1397"/>
      <c r="G47" s="1398"/>
      <c r="H47" s="1409">
        <v>0</v>
      </c>
      <c r="I47" s="1386">
        <v>0</v>
      </c>
      <c r="J47" s="1436"/>
      <c r="K47" s="1430">
        <v>0</v>
      </c>
      <c r="L47" s="1376">
        <v>0</v>
      </c>
      <c r="M47" s="1388"/>
      <c r="N47" s="714">
        <f t="shared" si="11"/>
        <v>0</v>
      </c>
      <c r="O47" s="715"/>
      <c r="P47" s="698">
        <f t="shared" si="5"/>
        <v>0</v>
      </c>
      <c r="Q47" s="722"/>
      <c r="R47" s="698">
        <f t="shared" si="6"/>
        <v>0</v>
      </c>
      <c r="S47" s="722"/>
      <c r="T47" s="722"/>
      <c r="U47" s="698">
        <f t="shared" si="7"/>
        <v>0</v>
      </c>
      <c r="V47" s="722"/>
      <c r="W47" s="698">
        <f t="shared" si="12"/>
        <v>0</v>
      </c>
      <c r="X47" s="722"/>
    </row>
    <row r="48" spans="1:24" ht="15.75" thickBot="1">
      <c r="A48" s="748"/>
      <c r="B48" s="749" t="s">
        <v>63</v>
      </c>
      <c r="C48" s="828" t="s">
        <v>21</v>
      </c>
      <c r="D48" s="1319">
        <f t="shared" si="0"/>
        <v>0</v>
      </c>
      <c r="E48" s="1319">
        <f t="shared" si="2"/>
        <v>0</v>
      </c>
      <c r="F48" s="1331"/>
      <c r="G48" s="1332"/>
      <c r="H48" s="1379">
        <v>0</v>
      </c>
      <c r="I48" s="1386">
        <v>0</v>
      </c>
      <c r="J48" s="1437"/>
      <c r="K48" s="1430">
        <v>0</v>
      </c>
      <c r="L48" s="1376">
        <v>0</v>
      </c>
      <c r="M48" s="1390"/>
      <c r="N48" s="714">
        <f t="shared" si="11"/>
        <v>0</v>
      </c>
      <c r="O48" s="730"/>
      <c r="P48" s="698">
        <f t="shared" si="5"/>
        <v>0</v>
      </c>
      <c r="Q48" s="720"/>
      <c r="R48" s="698">
        <f t="shared" si="6"/>
        <v>0</v>
      </c>
      <c r="S48" s="720"/>
      <c r="T48" s="720"/>
      <c r="U48" s="698">
        <f t="shared" si="7"/>
        <v>0</v>
      </c>
      <c r="V48" s="720"/>
      <c r="W48" s="698">
        <f t="shared" si="12"/>
        <v>0</v>
      </c>
      <c r="X48" s="720"/>
    </row>
    <row r="49" spans="1:24" ht="15.75" thickBot="1">
      <c r="A49" s="711" t="s">
        <v>324</v>
      </c>
      <c r="B49" s="712" t="s">
        <v>64</v>
      </c>
      <c r="C49" s="808" t="s">
        <v>51</v>
      </c>
      <c r="D49" s="1396">
        <f t="shared" si="0"/>
        <v>0</v>
      </c>
      <c r="E49" s="1396">
        <f t="shared" si="2"/>
        <v>0</v>
      </c>
      <c r="F49" s="1397"/>
      <c r="G49" s="1398"/>
      <c r="H49" s="1399">
        <v>0</v>
      </c>
      <c r="I49" s="1386">
        <v>0</v>
      </c>
      <c r="J49" s="1416"/>
      <c r="K49" s="1430">
        <v>0</v>
      </c>
      <c r="L49" s="1376">
        <v>0</v>
      </c>
      <c r="M49" s="1388"/>
      <c r="N49" s="714">
        <f t="shared" si="11"/>
        <v>0</v>
      </c>
      <c r="O49" s="736"/>
      <c r="P49" s="698">
        <f t="shared" si="5"/>
        <v>0</v>
      </c>
      <c r="Q49" s="722"/>
      <c r="R49" s="698">
        <f t="shared" si="6"/>
        <v>0</v>
      </c>
      <c r="S49" s="722"/>
      <c r="T49" s="722"/>
      <c r="U49" s="698">
        <f t="shared" si="7"/>
        <v>0</v>
      </c>
      <c r="V49" s="722"/>
      <c r="W49" s="698">
        <f t="shared" si="12"/>
        <v>0</v>
      </c>
      <c r="X49" s="722"/>
    </row>
    <row r="50" spans="1:24" ht="15.75" thickBot="1">
      <c r="A50" s="748"/>
      <c r="B50" s="709"/>
      <c r="C50" s="828" t="s">
        <v>21</v>
      </c>
      <c r="D50" s="1319">
        <f t="shared" si="0"/>
        <v>0</v>
      </c>
      <c r="E50" s="1319">
        <f t="shared" si="2"/>
        <v>0</v>
      </c>
      <c r="F50" s="1400"/>
      <c r="G50" s="1401"/>
      <c r="H50" s="1379">
        <v>0</v>
      </c>
      <c r="I50" s="1386">
        <v>0</v>
      </c>
      <c r="J50" s="1417"/>
      <c r="K50" s="1430">
        <v>0</v>
      </c>
      <c r="L50" s="1376">
        <v>0</v>
      </c>
      <c r="M50" s="1390"/>
      <c r="N50" s="714">
        <f t="shared" si="11"/>
        <v>0</v>
      </c>
      <c r="O50" s="730"/>
      <c r="P50" s="698">
        <f t="shared" si="5"/>
        <v>0</v>
      </c>
      <c r="Q50" s="720"/>
      <c r="R50" s="698">
        <f t="shared" si="6"/>
        <v>0</v>
      </c>
      <c r="S50" s="720"/>
      <c r="T50" s="720"/>
      <c r="U50" s="698">
        <f t="shared" si="7"/>
        <v>0</v>
      </c>
      <c r="V50" s="720"/>
      <c r="W50" s="698">
        <f t="shared" si="12"/>
        <v>0</v>
      </c>
      <c r="X50" s="720"/>
    </row>
    <row r="51" spans="1:24" ht="15.75" thickBot="1">
      <c r="A51" s="711" t="s">
        <v>325</v>
      </c>
      <c r="B51" s="712" t="s">
        <v>65</v>
      </c>
      <c r="C51" s="795" t="s">
        <v>47</v>
      </c>
      <c r="D51" s="1426">
        <f t="shared" si="0"/>
        <v>3</v>
      </c>
      <c r="E51" s="1427">
        <f t="shared" si="2"/>
        <v>0</v>
      </c>
      <c r="F51" s="1428"/>
      <c r="G51" s="1429"/>
      <c r="H51" s="1430">
        <f>I51</f>
        <v>3</v>
      </c>
      <c r="I51" s="1386">
        <f>1+1+1</f>
        <v>3</v>
      </c>
      <c r="J51" s="1416"/>
      <c r="K51" s="1430">
        <v>0</v>
      </c>
      <c r="L51" s="1376">
        <v>0</v>
      </c>
      <c r="M51" s="1388"/>
      <c r="N51" s="714">
        <f t="shared" si="11"/>
        <v>0</v>
      </c>
      <c r="O51" s="736"/>
      <c r="P51" s="698">
        <f t="shared" si="5"/>
        <v>0</v>
      </c>
      <c r="Q51" s="722"/>
      <c r="R51" s="698">
        <f t="shared" si="6"/>
        <v>0</v>
      </c>
      <c r="S51" s="722"/>
      <c r="T51" s="722"/>
      <c r="U51" s="698">
        <f t="shared" si="7"/>
        <v>0</v>
      </c>
      <c r="V51" s="722"/>
      <c r="W51" s="698">
        <f t="shared" si="12"/>
        <v>0</v>
      </c>
      <c r="X51" s="722"/>
    </row>
    <row r="52" spans="1:24" ht="15.75" thickBot="1">
      <c r="A52" s="750"/>
      <c r="B52" s="739" t="s">
        <v>66</v>
      </c>
      <c r="C52" s="1420" t="s">
        <v>21</v>
      </c>
      <c r="D52" s="1431">
        <f>H52</f>
        <v>4.1070000000000002</v>
      </c>
      <c r="E52" s="1432">
        <f t="shared" si="2"/>
        <v>0</v>
      </c>
      <c r="F52" s="1433"/>
      <c r="G52" s="1434"/>
      <c r="H52" s="1418">
        <f>I52</f>
        <v>4.1070000000000002</v>
      </c>
      <c r="I52" s="1391">
        <f>1.369+1.369+1.369</f>
        <v>4.1070000000000002</v>
      </c>
      <c r="J52" s="1417"/>
      <c r="K52" s="1430">
        <v>0</v>
      </c>
      <c r="L52" s="1376">
        <v>0</v>
      </c>
      <c r="M52" s="1390"/>
      <c r="N52" s="714">
        <f t="shared" si="11"/>
        <v>0</v>
      </c>
      <c r="O52" s="719"/>
      <c r="P52" s="698">
        <f t="shared" si="5"/>
        <v>0</v>
      </c>
      <c r="Q52" s="720"/>
      <c r="R52" s="698">
        <f t="shared" si="6"/>
        <v>0</v>
      </c>
      <c r="S52" s="720"/>
      <c r="T52" s="720"/>
      <c r="U52" s="698">
        <f t="shared" si="7"/>
        <v>0</v>
      </c>
      <c r="V52" s="720"/>
      <c r="W52" s="698">
        <f t="shared" si="12"/>
        <v>0</v>
      </c>
      <c r="X52" s="720"/>
    </row>
    <row r="53" spans="1:24" ht="15.75" thickBot="1">
      <c r="A53" s="711" t="s">
        <v>326</v>
      </c>
      <c r="B53" s="712" t="s">
        <v>67</v>
      </c>
      <c r="C53" s="808" t="s">
        <v>47</v>
      </c>
      <c r="D53" s="1421">
        <f t="shared" si="0"/>
        <v>0</v>
      </c>
      <c r="E53" s="1421">
        <f t="shared" si="2"/>
        <v>0</v>
      </c>
      <c r="F53" s="1422"/>
      <c r="G53" s="1423"/>
      <c r="H53" s="1424">
        <v>0</v>
      </c>
      <c r="I53" s="1383">
        <v>0</v>
      </c>
      <c r="J53" s="1361"/>
      <c r="K53" s="1430">
        <v>0</v>
      </c>
      <c r="L53" s="1376">
        <v>0</v>
      </c>
      <c r="M53" s="1415"/>
      <c r="N53" s="714">
        <f t="shared" si="11"/>
        <v>0</v>
      </c>
      <c r="O53" s="736"/>
      <c r="P53" s="698">
        <f t="shared" si="5"/>
        <v>0</v>
      </c>
      <c r="Q53" s="722"/>
      <c r="R53" s="698">
        <f t="shared" si="6"/>
        <v>0</v>
      </c>
      <c r="S53" s="722"/>
      <c r="T53" s="722"/>
      <c r="U53" s="698">
        <f t="shared" si="7"/>
        <v>0</v>
      </c>
      <c r="V53" s="722"/>
      <c r="W53" s="698">
        <f t="shared" si="12"/>
        <v>0</v>
      </c>
      <c r="X53" s="722"/>
    </row>
    <row r="54" spans="1:24" ht="15.75" thickBot="1">
      <c r="A54" s="750"/>
      <c r="B54" s="717"/>
      <c r="C54" s="790" t="s">
        <v>21</v>
      </c>
      <c r="D54" s="1319">
        <f t="shared" si="0"/>
        <v>0</v>
      </c>
      <c r="E54" s="1319">
        <f t="shared" si="2"/>
        <v>0</v>
      </c>
      <c r="F54" s="1331"/>
      <c r="G54" s="1332"/>
      <c r="H54" s="1379">
        <v>0</v>
      </c>
      <c r="I54" s="1391">
        <v>0</v>
      </c>
      <c r="J54" s="1417"/>
      <c r="K54" s="1430">
        <v>0</v>
      </c>
      <c r="L54" s="1376">
        <v>0</v>
      </c>
      <c r="M54" s="1390"/>
      <c r="N54" s="714">
        <f t="shared" si="11"/>
        <v>0</v>
      </c>
      <c r="O54" s="719"/>
      <c r="P54" s="698">
        <f t="shared" si="5"/>
        <v>0</v>
      </c>
      <c r="Q54" s="720"/>
      <c r="R54" s="698">
        <f t="shared" si="6"/>
        <v>0</v>
      </c>
      <c r="S54" s="720"/>
      <c r="T54" s="720"/>
      <c r="U54" s="698">
        <f t="shared" si="7"/>
        <v>0</v>
      </c>
      <c r="V54" s="720"/>
      <c r="W54" s="698">
        <f t="shared" si="12"/>
        <v>0</v>
      </c>
      <c r="X54" s="720"/>
    </row>
    <row r="55" spans="1:24">
      <c r="A55" s="711" t="s">
        <v>327</v>
      </c>
      <c r="B55" s="712" t="s">
        <v>68</v>
      </c>
      <c r="C55" s="808" t="s">
        <v>47</v>
      </c>
      <c r="D55" s="1396">
        <f t="shared" si="0"/>
        <v>39</v>
      </c>
      <c r="E55" s="1396">
        <f t="shared" si="2"/>
        <v>0</v>
      </c>
      <c r="F55" s="1397"/>
      <c r="G55" s="1398"/>
      <c r="H55" s="1409">
        <f>I55</f>
        <v>34</v>
      </c>
      <c r="I55" s="1383">
        <f>3+4+4+2+2+2+2+1+1+1+2+4+4+1+1</f>
        <v>34</v>
      </c>
      <c r="J55" s="1413"/>
      <c r="K55" s="1414">
        <f>L55</f>
        <v>5</v>
      </c>
      <c r="L55" s="1385">
        <f>2+2+1</f>
        <v>5</v>
      </c>
      <c r="M55" s="1415"/>
      <c r="N55" s="714">
        <f t="shared" si="11"/>
        <v>0</v>
      </c>
      <c r="O55" s="736"/>
      <c r="P55" s="698">
        <f t="shared" si="5"/>
        <v>0</v>
      </c>
      <c r="Q55" s="722"/>
      <c r="R55" s="698">
        <f t="shared" si="6"/>
        <v>0</v>
      </c>
      <c r="S55" s="722"/>
      <c r="T55" s="722"/>
      <c r="U55" s="698">
        <f t="shared" si="7"/>
        <v>0</v>
      </c>
      <c r="V55" s="722"/>
      <c r="W55" s="698">
        <f t="shared" si="12"/>
        <v>0</v>
      </c>
      <c r="X55" s="722"/>
    </row>
    <row r="56" spans="1:24" ht="15.75" thickBot="1">
      <c r="A56" s="750"/>
      <c r="B56" s="739" t="s">
        <v>69</v>
      </c>
      <c r="C56" s="790" t="s">
        <v>21</v>
      </c>
      <c r="D56" s="1319">
        <f t="shared" si="0"/>
        <v>115.47499999999999</v>
      </c>
      <c r="E56" s="1319">
        <f t="shared" si="2"/>
        <v>0</v>
      </c>
      <c r="F56" s="1400"/>
      <c r="G56" s="1401"/>
      <c r="H56" s="1379">
        <f>I56</f>
        <v>99.704999999999998</v>
      </c>
      <c r="I56" s="1412">
        <f>10.724+14.298+13.648+6.308+6.308+6.308+6.308+3.154+1.208+3.59+6.308+0.913+13.648+2.858+4.124</f>
        <v>99.704999999999998</v>
      </c>
      <c r="J56" s="1449"/>
      <c r="K56" s="1358">
        <f>L56</f>
        <v>15.77</v>
      </c>
      <c r="L56" s="1408">
        <f>6.308+6.308+3.154</f>
        <v>15.77</v>
      </c>
      <c r="M56" s="1450"/>
      <c r="N56" s="714">
        <f t="shared" si="11"/>
        <v>0</v>
      </c>
      <c r="O56" s="719"/>
      <c r="P56" s="698">
        <f t="shared" si="5"/>
        <v>0</v>
      </c>
      <c r="Q56" s="720"/>
      <c r="R56" s="698">
        <f t="shared" si="6"/>
        <v>0</v>
      </c>
      <c r="S56" s="720"/>
      <c r="T56" s="720"/>
      <c r="U56" s="698">
        <f t="shared" si="7"/>
        <v>0</v>
      </c>
      <c r="V56" s="720"/>
      <c r="W56" s="698">
        <f t="shared" si="12"/>
        <v>0</v>
      </c>
      <c r="X56" s="720"/>
    </row>
    <row r="57" spans="1:24" ht="21" customHeight="1" thickBot="1">
      <c r="A57" s="711" t="s">
        <v>328</v>
      </c>
      <c r="B57" s="871" t="s">
        <v>70</v>
      </c>
      <c r="C57" s="795" t="s">
        <v>24</v>
      </c>
      <c r="D57" s="1426">
        <f t="shared" si="0"/>
        <v>0</v>
      </c>
      <c r="E57" s="1427">
        <f t="shared" si="2"/>
        <v>0</v>
      </c>
      <c r="F57" s="1428"/>
      <c r="G57" s="1429"/>
      <c r="H57" s="1430">
        <v>0</v>
      </c>
      <c r="I57" s="1451">
        <v>0</v>
      </c>
      <c r="J57" s="1436"/>
      <c r="K57" s="1430">
        <v>0</v>
      </c>
      <c r="L57" s="1386">
        <v>0</v>
      </c>
      <c r="M57" s="1452"/>
      <c r="N57" s="714">
        <f t="shared" si="11"/>
        <v>0</v>
      </c>
      <c r="O57" s="721"/>
      <c r="P57" s="698">
        <f t="shared" si="5"/>
        <v>0</v>
      </c>
      <c r="Q57" s="722"/>
      <c r="R57" s="698">
        <f t="shared" si="6"/>
        <v>0</v>
      </c>
      <c r="S57" s="722"/>
      <c r="T57" s="722"/>
      <c r="U57" s="698">
        <f t="shared" si="7"/>
        <v>0</v>
      </c>
      <c r="V57" s="722"/>
      <c r="W57" s="698">
        <f t="shared" si="12"/>
        <v>0</v>
      </c>
      <c r="X57" s="722"/>
    </row>
    <row r="58" spans="1:24" ht="24.75" customHeight="1" thickBot="1">
      <c r="A58" s="748"/>
      <c r="B58" s="872" t="s">
        <v>71</v>
      </c>
      <c r="C58" s="1448" t="s">
        <v>21</v>
      </c>
      <c r="D58" s="1431">
        <f t="shared" si="0"/>
        <v>0</v>
      </c>
      <c r="E58" s="1432">
        <f t="shared" si="2"/>
        <v>0</v>
      </c>
      <c r="F58" s="1433"/>
      <c r="G58" s="1434"/>
      <c r="H58" s="1418">
        <v>0</v>
      </c>
      <c r="I58" s="1395">
        <v>0</v>
      </c>
      <c r="J58" s="1437"/>
      <c r="K58" s="1430">
        <v>0</v>
      </c>
      <c r="L58" s="1386">
        <v>0</v>
      </c>
      <c r="M58" s="1394"/>
      <c r="N58" s="714">
        <f t="shared" si="11"/>
        <v>0</v>
      </c>
      <c r="O58" s="730"/>
      <c r="P58" s="698">
        <f t="shared" si="5"/>
        <v>0</v>
      </c>
      <c r="Q58" s="726"/>
      <c r="R58" s="698">
        <f t="shared" si="6"/>
        <v>0</v>
      </c>
      <c r="S58" s="726"/>
      <c r="T58" s="726"/>
      <c r="U58" s="698">
        <f t="shared" si="7"/>
        <v>0</v>
      </c>
      <c r="V58" s="726"/>
      <c r="W58" s="698">
        <f t="shared" si="12"/>
        <v>0</v>
      </c>
      <c r="X58" s="726"/>
    </row>
    <row r="59" spans="1:24" ht="22.5" customHeight="1">
      <c r="A59" s="751" t="s">
        <v>329</v>
      </c>
      <c r="B59" s="870" t="s">
        <v>72</v>
      </c>
      <c r="C59" s="795" t="s">
        <v>47</v>
      </c>
      <c r="D59" s="1426">
        <f t="shared" si="0"/>
        <v>0</v>
      </c>
      <c r="E59" s="1427">
        <f t="shared" si="2"/>
        <v>0</v>
      </c>
      <c r="F59" s="1428"/>
      <c r="G59" s="1429"/>
      <c r="H59" s="1419">
        <v>0</v>
      </c>
      <c r="I59" s="1411">
        <v>0</v>
      </c>
      <c r="J59" s="1416"/>
      <c r="K59" s="1419">
        <v>0</v>
      </c>
      <c r="L59" s="1411">
        <v>0</v>
      </c>
      <c r="M59" s="1388"/>
      <c r="N59" s="714">
        <f t="shared" si="11"/>
        <v>0</v>
      </c>
      <c r="O59" s="721"/>
      <c r="P59" s="698">
        <f t="shared" si="5"/>
        <v>0</v>
      </c>
      <c r="Q59" s="722"/>
      <c r="R59" s="698">
        <f t="shared" si="6"/>
        <v>0</v>
      </c>
      <c r="S59" s="722"/>
      <c r="T59" s="722"/>
      <c r="U59" s="698">
        <f t="shared" si="7"/>
        <v>0</v>
      </c>
      <c r="V59" s="722"/>
      <c r="W59" s="698">
        <f t="shared" si="12"/>
        <v>0</v>
      </c>
      <c r="X59" s="722"/>
    </row>
    <row r="60" spans="1:24" ht="15.75" thickBot="1">
      <c r="A60" s="753"/>
      <c r="B60" s="754" t="s">
        <v>73</v>
      </c>
      <c r="C60" s="828" t="s">
        <v>21</v>
      </c>
      <c r="D60" s="1319">
        <f t="shared" si="0"/>
        <v>0</v>
      </c>
      <c r="E60" s="1319">
        <f t="shared" si="2"/>
        <v>0</v>
      </c>
      <c r="F60" s="1400"/>
      <c r="G60" s="1401"/>
      <c r="H60" s="1379">
        <v>0</v>
      </c>
      <c r="I60" s="1376">
        <v>0</v>
      </c>
      <c r="J60" s="1417"/>
      <c r="K60" s="1418">
        <v>0</v>
      </c>
      <c r="L60" s="1376">
        <v>0</v>
      </c>
      <c r="M60" s="1390"/>
      <c r="N60" s="729">
        <f t="shared" si="11"/>
        <v>0</v>
      </c>
      <c r="O60" s="730"/>
      <c r="P60" s="726">
        <f t="shared" si="5"/>
        <v>0</v>
      </c>
      <c r="Q60" s="726"/>
      <c r="R60" s="726">
        <f t="shared" si="6"/>
        <v>0</v>
      </c>
      <c r="S60" s="726"/>
      <c r="T60" s="726"/>
      <c r="U60" s="726">
        <f t="shared" si="7"/>
        <v>0</v>
      </c>
      <c r="V60" s="726"/>
      <c r="W60" s="726">
        <f t="shared" si="12"/>
        <v>0</v>
      </c>
      <c r="X60" s="726"/>
    </row>
    <row r="61" spans="1:24">
      <c r="A61" s="1690" t="s">
        <v>330</v>
      </c>
      <c r="B61" s="752" t="s">
        <v>74</v>
      </c>
      <c r="C61" s="808" t="s">
        <v>47</v>
      </c>
      <c r="D61" s="1396">
        <f t="shared" si="0"/>
        <v>0</v>
      </c>
      <c r="E61" s="1396">
        <f t="shared" si="2"/>
        <v>0</v>
      </c>
      <c r="F61" s="1457"/>
      <c r="G61" s="1458"/>
      <c r="H61" s="1399"/>
      <c r="I61" s="1411"/>
      <c r="J61" s="1416"/>
      <c r="K61" s="1419"/>
      <c r="L61" s="1411"/>
      <c r="M61" s="1388"/>
      <c r="N61" s="760">
        <f t="shared" si="11"/>
        <v>0</v>
      </c>
      <c r="O61" s="761"/>
      <c r="P61" s="737">
        <f t="shared" si="5"/>
        <v>0</v>
      </c>
      <c r="Q61" s="757"/>
      <c r="R61" s="737">
        <f t="shared" si="6"/>
        <v>0</v>
      </c>
      <c r="S61" s="757"/>
      <c r="T61" s="757"/>
      <c r="U61" s="737">
        <f t="shared" si="7"/>
        <v>0</v>
      </c>
      <c r="V61" s="757"/>
      <c r="W61" s="737">
        <f t="shared" si="12"/>
        <v>0</v>
      </c>
      <c r="X61" s="762"/>
    </row>
    <row r="62" spans="1:24" ht="15.75" thickBot="1">
      <c r="A62" s="1691"/>
      <c r="B62" s="1522"/>
      <c r="C62" s="790" t="s">
        <v>21</v>
      </c>
      <c r="D62" s="1319">
        <f t="shared" si="0"/>
        <v>0</v>
      </c>
      <c r="E62" s="1319">
        <f t="shared" si="2"/>
        <v>0</v>
      </c>
      <c r="F62" s="1455"/>
      <c r="G62" s="1456"/>
      <c r="H62" s="1379"/>
      <c r="I62" s="1376"/>
      <c r="J62" s="1417"/>
      <c r="K62" s="1418"/>
      <c r="L62" s="1376"/>
      <c r="M62" s="1390"/>
      <c r="N62" s="742">
        <f t="shared" si="11"/>
        <v>0</v>
      </c>
      <c r="O62" s="768"/>
      <c r="P62" s="720">
        <f t="shared" si="5"/>
        <v>0</v>
      </c>
      <c r="Q62" s="765"/>
      <c r="R62" s="720">
        <f t="shared" si="6"/>
        <v>0</v>
      </c>
      <c r="S62" s="765"/>
      <c r="T62" s="765"/>
      <c r="U62" s="720">
        <f t="shared" si="7"/>
        <v>0</v>
      </c>
      <c r="V62" s="765"/>
      <c r="W62" s="720">
        <f t="shared" si="12"/>
        <v>0</v>
      </c>
      <c r="X62" s="769"/>
    </row>
    <row r="63" spans="1:24" ht="32.25" customHeight="1">
      <c r="A63" s="1685" t="s">
        <v>331</v>
      </c>
      <c r="B63" s="1688" t="s">
        <v>75</v>
      </c>
      <c r="C63" s="808" t="s">
        <v>24</v>
      </c>
      <c r="D63" s="1396">
        <f t="shared" si="0"/>
        <v>0</v>
      </c>
      <c r="E63" s="1396">
        <f t="shared" si="2"/>
        <v>0</v>
      </c>
      <c r="F63" s="1457"/>
      <c r="G63" s="1458"/>
      <c r="H63" s="1409"/>
      <c r="I63" s="1383"/>
      <c r="J63" s="1447"/>
      <c r="K63" s="1425"/>
      <c r="L63" s="1385"/>
      <c r="M63" s="1361"/>
      <c r="N63" s="760">
        <f t="shared" si="11"/>
        <v>0</v>
      </c>
      <c r="O63" s="761"/>
      <c r="P63" s="737">
        <f t="shared" si="5"/>
        <v>0</v>
      </c>
      <c r="Q63" s="757"/>
      <c r="R63" s="737">
        <f t="shared" si="6"/>
        <v>0</v>
      </c>
      <c r="S63" s="757"/>
      <c r="T63" s="757"/>
      <c r="U63" s="737">
        <f t="shared" si="7"/>
        <v>0</v>
      </c>
      <c r="V63" s="757"/>
      <c r="W63" s="737">
        <f t="shared" si="12"/>
        <v>0</v>
      </c>
      <c r="X63" s="762"/>
    </row>
    <row r="64" spans="1:24" ht="15.75" thickBot="1">
      <c r="A64" s="1691"/>
      <c r="B64" s="1689"/>
      <c r="C64" s="790" t="s">
        <v>21</v>
      </c>
      <c r="D64" s="1319">
        <f t="shared" si="0"/>
        <v>0</v>
      </c>
      <c r="E64" s="1319">
        <f t="shared" si="2"/>
        <v>0</v>
      </c>
      <c r="F64" s="1455"/>
      <c r="G64" s="1456"/>
      <c r="H64" s="1379"/>
      <c r="I64" s="1412"/>
      <c r="J64" s="1435"/>
      <c r="K64" s="1379"/>
      <c r="L64" s="1408"/>
      <c r="M64" s="1382"/>
      <c r="N64" s="742">
        <f t="shared" si="11"/>
        <v>0</v>
      </c>
      <c r="O64" s="768"/>
      <c r="P64" s="720">
        <f t="shared" si="5"/>
        <v>0</v>
      </c>
      <c r="Q64" s="765"/>
      <c r="R64" s="720">
        <f t="shared" si="6"/>
        <v>0</v>
      </c>
      <c r="S64" s="765"/>
      <c r="T64" s="765"/>
      <c r="U64" s="720">
        <f t="shared" si="7"/>
        <v>0</v>
      </c>
      <c r="V64" s="765"/>
      <c r="W64" s="720">
        <f t="shared" si="12"/>
        <v>0</v>
      </c>
      <c r="X64" s="769"/>
    </row>
    <row r="65" spans="1:24" ht="12" customHeight="1">
      <c r="A65" s="1685" t="s">
        <v>332</v>
      </c>
      <c r="B65" s="752" t="s">
        <v>76</v>
      </c>
      <c r="C65" s="808" t="s">
        <v>47</v>
      </c>
      <c r="D65" s="1396">
        <f t="shared" si="0"/>
        <v>0</v>
      </c>
      <c r="E65" s="1396">
        <f t="shared" si="2"/>
        <v>0</v>
      </c>
      <c r="F65" s="1457"/>
      <c r="G65" s="1458"/>
      <c r="H65" s="1463"/>
      <c r="I65" s="1386"/>
      <c r="J65" s="1436"/>
      <c r="K65" s="1419"/>
      <c r="L65" s="1411"/>
      <c r="M65" s="1388"/>
      <c r="N65" s="760">
        <f t="shared" si="11"/>
        <v>0</v>
      </c>
      <c r="O65" s="761"/>
      <c r="P65" s="737">
        <f t="shared" si="5"/>
        <v>0</v>
      </c>
      <c r="Q65" s="757"/>
      <c r="R65" s="737">
        <f t="shared" si="6"/>
        <v>0</v>
      </c>
      <c r="S65" s="757"/>
      <c r="T65" s="757"/>
      <c r="U65" s="737">
        <f t="shared" si="7"/>
        <v>0</v>
      </c>
      <c r="V65" s="757"/>
      <c r="W65" s="737">
        <f t="shared" si="12"/>
        <v>0</v>
      </c>
      <c r="X65" s="762"/>
    </row>
    <row r="66" spans="1:24" ht="10.5" customHeight="1" thickBot="1">
      <c r="A66" s="1691"/>
      <c r="B66" s="1522"/>
      <c r="C66" s="790" t="s">
        <v>21</v>
      </c>
      <c r="D66" s="1319">
        <f t="shared" si="0"/>
        <v>0</v>
      </c>
      <c r="E66" s="1319">
        <f t="shared" si="2"/>
        <v>0</v>
      </c>
      <c r="F66" s="1455"/>
      <c r="G66" s="1456"/>
      <c r="H66" s="1461"/>
      <c r="I66" s="1391"/>
      <c r="J66" s="1437"/>
      <c r="K66" s="1418"/>
      <c r="L66" s="1376"/>
      <c r="M66" s="1390"/>
      <c r="N66" s="742">
        <f t="shared" si="11"/>
        <v>0</v>
      </c>
      <c r="O66" s="768"/>
      <c r="P66" s="720">
        <f t="shared" si="5"/>
        <v>0</v>
      </c>
      <c r="Q66" s="765"/>
      <c r="R66" s="720">
        <f t="shared" si="6"/>
        <v>0</v>
      </c>
      <c r="S66" s="765"/>
      <c r="T66" s="765"/>
      <c r="U66" s="720">
        <f t="shared" si="7"/>
        <v>0</v>
      </c>
      <c r="V66" s="765"/>
      <c r="W66" s="720">
        <f t="shared" si="12"/>
        <v>0</v>
      </c>
      <c r="X66" s="769"/>
    </row>
    <row r="67" spans="1:24" ht="12" customHeight="1" thickBot="1">
      <c r="A67" s="1685" t="s">
        <v>333</v>
      </c>
      <c r="B67" s="752" t="s">
        <v>77</v>
      </c>
      <c r="C67" s="808" t="s">
        <v>47</v>
      </c>
      <c r="D67" s="1396">
        <f t="shared" si="0"/>
        <v>0</v>
      </c>
      <c r="E67" s="1317">
        <f t="shared" si="2"/>
        <v>0</v>
      </c>
      <c r="F67" s="758"/>
      <c r="G67" s="759"/>
      <c r="H67" s="1463"/>
      <c r="I67" s="1386"/>
      <c r="J67" s="1436"/>
      <c r="K67" s="1419"/>
      <c r="L67" s="1411"/>
      <c r="M67" s="1388"/>
      <c r="N67" s="760">
        <f t="shared" si="11"/>
        <v>0</v>
      </c>
      <c r="O67" s="761"/>
      <c r="P67" s="737">
        <f t="shared" si="5"/>
        <v>0</v>
      </c>
      <c r="Q67" s="757"/>
      <c r="R67" s="737">
        <f t="shared" si="6"/>
        <v>0</v>
      </c>
      <c r="S67" s="757"/>
      <c r="T67" s="757"/>
      <c r="U67" s="737">
        <f t="shared" si="7"/>
        <v>0</v>
      </c>
      <c r="V67" s="757"/>
      <c r="W67" s="737">
        <f t="shared" si="12"/>
        <v>0</v>
      </c>
      <c r="X67" s="762"/>
    </row>
    <row r="68" spans="1:24" ht="15.75" thickBot="1">
      <c r="A68" s="1691"/>
      <c r="B68" s="1522"/>
      <c r="C68" s="790" t="s">
        <v>21</v>
      </c>
      <c r="D68" s="1319">
        <f t="shared" si="0"/>
        <v>0</v>
      </c>
      <c r="E68" s="1317">
        <f t="shared" si="2"/>
        <v>0</v>
      </c>
      <c r="F68" s="1484"/>
      <c r="G68" s="1485"/>
      <c r="H68" s="1384"/>
      <c r="I68" s="1412"/>
      <c r="J68" s="1435"/>
      <c r="K68" s="1379"/>
      <c r="L68" s="1408"/>
      <c r="M68" s="1450"/>
      <c r="N68" s="742">
        <f t="shared" si="11"/>
        <v>0</v>
      </c>
      <c r="O68" s="768"/>
      <c r="P68" s="720">
        <f t="shared" si="5"/>
        <v>0</v>
      </c>
      <c r="Q68" s="765"/>
      <c r="R68" s="720">
        <f t="shared" si="6"/>
        <v>0</v>
      </c>
      <c r="S68" s="765"/>
      <c r="T68" s="765"/>
      <c r="U68" s="720">
        <f t="shared" si="7"/>
        <v>0</v>
      </c>
      <c r="V68" s="765"/>
      <c r="W68" s="720">
        <f t="shared" si="12"/>
        <v>0</v>
      </c>
      <c r="X68" s="769"/>
    </row>
    <row r="69" spans="1:24" ht="21" customHeight="1">
      <c r="A69" s="1685" t="s">
        <v>334</v>
      </c>
      <c r="B69" s="1688" t="s">
        <v>78</v>
      </c>
      <c r="C69" s="795" t="s">
        <v>79</v>
      </c>
      <c r="D69" s="1426">
        <f t="shared" si="0"/>
        <v>0</v>
      </c>
      <c r="E69" s="1427">
        <f t="shared" si="2"/>
        <v>0</v>
      </c>
      <c r="F69" s="1486"/>
      <c r="G69" s="1487"/>
      <c r="H69" s="1430"/>
      <c r="I69" s="1386"/>
      <c r="J69" s="1436"/>
      <c r="K69" s="1419"/>
      <c r="L69" s="1411"/>
      <c r="M69" s="1388"/>
      <c r="N69" s="760">
        <f t="shared" si="11"/>
        <v>0</v>
      </c>
      <c r="O69" s="761"/>
      <c r="P69" s="737">
        <f t="shared" si="5"/>
        <v>0</v>
      </c>
      <c r="Q69" s="757"/>
      <c r="R69" s="737">
        <f t="shared" si="6"/>
        <v>0</v>
      </c>
      <c r="S69" s="757"/>
      <c r="T69" s="757"/>
      <c r="U69" s="737">
        <f t="shared" si="7"/>
        <v>0</v>
      </c>
      <c r="V69" s="757"/>
      <c r="W69" s="737">
        <f t="shared" si="12"/>
        <v>0</v>
      </c>
      <c r="X69" s="762"/>
    </row>
    <row r="70" spans="1:24" ht="15.75" thickBot="1">
      <c r="A70" s="1692"/>
      <c r="B70" s="1522"/>
      <c r="C70" s="1420" t="s">
        <v>21</v>
      </c>
      <c r="D70" s="1431">
        <f t="shared" si="0"/>
        <v>0</v>
      </c>
      <c r="E70" s="1432">
        <f t="shared" si="2"/>
        <v>0</v>
      </c>
      <c r="F70" s="1488"/>
      <c r="G70" s="1489"/>
      <c r="H70" s="1418"/>
      <c r="I70" s="1391"/>
      <c r="J70" s="1437"/>
      <c r="K70" s="1418"/>
      <c r="L70" s="1376"/>
      <c r="M70" s="1390"/>
      <c r="N70" s="742">
        <f t="shared" si="11"/>
        <v>0</v>
      </c>
      <c r="O70" s="768"/>
      <c r="P70" s="720">
        <f t="shared" si="5"/>
        <v>0</v>
      </c>
      <c r="Q70" s="765"/>
      <c r="R70" s="720">
        <f t="shared" si="6"/>
        <v>0</v>
      </c>
      <c r="S70" s="765"/>
      <c r="T70" s="765"/>
      <c r="U70" s="720">
        <f t="shared" si="7"/>
        <v>0</v>
      </c>
      <c r="V70" s="765"/>
      <c r="W70" s="720">
        <f t="shared" si="12"/>
        <v>0</v>
      </c>
      <c r="X70" s="769"/>
    </row>
    <row r="71" spans="1:24" ht="21" customHeight="1">
      <c r="A71" s="1690" t="s">
        <v>335</v>
      </c>
      <c r="B71" s="1688" t="s">
        <v>80</v>
      </c>
      <c r="C71" s="795" t="s">
        <v>24</v>
      </c>
      <c r="D71" s="1426">
        <f t="shared" si="0"/>
        <v>0</v>
      </c>
      <c r="E71" s="1427">
        <f t="shared" si="2"/>
        <v>0</v>
      </c>
      <c r="F71" s="1486"/>
      <c r="G71" s="1487"/>
      <c r="H71" s="1430"/>
      <c r="I71" s="1386"/>
      <c r="J71" s="1436"/>
      <c r="K71" s="1419"/>
      <c r="L71" s="1411"/>
      <c r="M71" s="1388"/>
      <c r="N71" s="760">
        <f t="shared" si="11"/>
        <v>0</v>
      </c>
      <c r="O71" s="761"/>
      <c r="P71" s="737">
        <f t="shared" si="5"/>
        <v>0</v>
      </c>
      <c r="Q71" s="757"/>
      <c r="R71" s="737">
        <f t="shared" si="6"/>
        <v>0</v>
      </c>
      <c r="S71" s="757"/>
      <c r="T71" s="757"/>
      <c r="U71" s="737">
        <f t="shared" si="7"/>
        <v>0</v>
      </c>
      <c r="V71" s="757"/>
      <c r="W71" s="737">
        <f t="shared" si="12"/>
        <v>0</v>
      </c>
      <c r="X71" s="762"/>
    </row>
    <row r="72" spans="1:24" ht="15.75" thickBot="1">
      <c r="A72" s="1694"/>
      <c r="B72" s="1522"/>
      <c r="C72" s="1619" t="s">
        <v>21</v>
      </c>
      <c r="D72" s="1620">
        <f t="shared" si="0"/>
        <v>0</v>
      </c>
      <c r="E72" s="1514">
        <f t="shared" si="2"/>
        <v>0</v>
      </c>
      <c r="F72" s="1621"/>
      <c r="G72" s="1622"/>
      <c r="H72" s="1623"/>
      <c r="I72" s="1624"/>
      <c r="J72" s="1625"/>
      <c r="K72" s="1623"/>
      <c r="L72" s="1626"/>
      <c r="M72" s="1627"/>
      <c r="N72" s="742">
        <f t="shared" si="11"/>
        <v>0</v>
      </c>
      <c r="O72" s="768"/>
      <c r="P72" s="720">
        <f t="shared" si="5"/>
        <v>0</v>
      </c>
      <c r="Q72" s="765"/>
      <c r="R72" s="720">
        <f t="shared" si="6"/>
        <v>0</v>
      </c>
      <c r="S72" s="765"/>
      <c r="T72" s="765"/>
      <c r="U72" s="720">
        <f t="shared" si="7"/>
        <v>0</v>
      </c>
      <c r="V72" s="765"/>
      <c r="W72" s="720">
        <f t="shared" si="12"/>
        <v>0</v>
      </c>
      <c r="X72" s="769"/>
    </row>
    <row r="73" spans="1:24" ht="16.5" thickTop="1" thickBot="1">
      <c r="A73" s="1693" t="s">
        <v>81</v>
      </c>
      <c r="B73" s="1336" t="s">
        <v>82</v>
      </c>
      <c r="C73" s="1337" t="s">
        <v>21</v>
      </c>
      <c r="D73" s="1514">
        <f>H73+K73</f>
        <v>624.60219999999993</v>
      </c>
      <c r="E73" s="1514">
        <f t="shared" si="2"/>
        <v>0</v>
      </c>
      <c r="F73" s="1614">
        <f t="shared" ref="F73:X73" si="13">F75+F85+F87</f>
        <v>0</v>
      </c>
      <c r="G73" s="1615">
        <f t="shared" si="13"/>
        <v>0</v>
      </c>
      <c r="H73" s="1616">
        <f>I73</f>
        <v>530.23719999999992</v>
      </c>
      <c r="I73" s="1617">
        <f>I77+I79+I81+I83+I85+I87</f>
        <v>530.23719999999992</v>
      </c>
      <c r="J73" s="1617"/>
      <c r="K73" s="1616">
        <f>K77+K79+K81+K83+K85+K87</f>
        <v>94.365000000000009</v>
      </c>
      <c r="L73" s="1617">
        <f>L77+L79+L81+L83+L85+L87</f>
        <v>94.365000000000009</v>
      </c>
      <c r="M73" s="1618"/>
      <c r="N73" s="1338">
        <f t="shared" si="13"/>
        <v>0</v>
      </c>
      <c r="O73" s="1338">
        <f t="shared" si="13"/>
        <v>0</v>
      </c>
      <c r="P73" s="1338">
        <f t="shared" si="13"/>
        <v>0</v>
      </c>
      <c r="Q73" s="1338">
        <f t="shared" si="13"/>
        <v>0</v>
      </c>
      <c r="R73" s="1338">
        <f t="shared" si="13"/>
        <v>0</v>
      </c>
      <c r="S73" s="1338">
        <f t="shared" si="13"/>
        <v>0</v>
      </c>
      <c r="T73" s="1338">
        <f t="shared" si="13"/>
        <v>0</v>
      </c>
      <c r="U73" s="1338">
        <f t="shared" si="13"/>
        <v>0</v>
      </c>
      <c r="V73" s="1338">
        <f t="shared" si="13"/>
        <v>0</v>
      </c>
      <c r="W73" s="1338">
        <f t="shared" si="13"/>
        <v>0</v>
      </c>
      <c r="X73" s="1338">
        <f t="shared" si="13"/>
        <v>0</v>
      </c>
    </row>
    <row r="74" spans="1:24" ht="15.75" thickTop="1">
      <c r="A74" s="707" t="s">
        <v>332</v>
      </c>
      <c r="B74" s="779" t="s">
        <v>83</v>
      </c>
      <c r="C74" s="805" t="s">
        <v>51</v>
      </c>
      <c r="D74" s="1612">
        <f>H74+K74</f>
        <v>0.40839999999999993</v>
      </c>
      <c r="E74" s="1421">
        <f t="shared" si="2"/>
        <v>0</v>
      </c>
      <c r="F74" s="1492">
        <f t="shared" ref="F74:G75" si="14">F76+F78+F80+F82</f>
        <v>0</v>
      </c>
      <c r="G74" s="1492">
        <f t="shared" si="14"/>
        <v>0</v>
      </c>
      <c r="H74" s="1424">
        <f>H76+H78+H80+H82</f>
        <v>0.35649999999999993</v>
      </c>
      <c r="I74" s="1490">
        <f>I76+I78+I80+I82</f>
        <v>0.35649999999999993</v>
      </c>
      <c r="J74" s="1490"/>
      <c r="K74" s="1502">
        <f>K76+K78+K80+K82</f>
        <v>5.1900000000000002E-2</v>
      </c>
      <c r="L74" s="1490">
        <f>L76+L78+L80+L82</f>
        <v>5.1900000000000002E-2</v>
      </c>
      <c r="M74" s="1613"/>
      <c r="N74" s="782">
        <f t="shared" ref="N74:X75" si="15">N76+N78+N80+N82</f>
        <v>0</v>
      </c>
      <c r="O74" s="694">
        <f t="shared" si="15"/>
        <v>0</v>
      </c>
      <c r="P74" s="694">
        <f t="shared" si="15"/>
        <v>0</v>
      </c>
      <c r="Q74" s="694">
        <f t="shared" si="15"/>
        <v>0</v>
      </c>
      <c r="R74" s="694">
        <f t="shared" si="15"/>
        <v>0</v>
      </c>
      <c r="S74" s="694">
        <f t="shared" si="15"/>
        <v>0</v>
      </c>
      <c r="T74" s="694">
        <f t="shared" si="15"/>
        <v>0</v>
      </c>
      <c r="U74" s="694">
        <f t="shared" si="15"/>
        <v>0</v>
      </c>
      <c r="V74" s="694">
        <f t="shared" si="15"/>
        <v>0</v>
      </c>
      <c r="W74" s="694">
        <f t="shared" si="15"/>
        <v>0</v>
      </c>
      <c r="X74" s="694">
        <f t="shared" si="15"/>
        <v>0</v>
      </c>
    </row>
    <row r="75" spans="1:24" ht="15.75" thickBot="1">
      <c r="A75" s="702"/>
      <c r="B75" s="1695" t="s">
        <v>84</v>
      </c>
      <c r="C75" s="1523" t="s">
        <v>21</v>
      </c>
      <c r="D75" s="1431">
        <f>H75+K75</f>
        <v>455.76499999999999</v>
      </c>
      <c r="E75" s="1432">
        <f t="shared" si="2"/>
        <v>0</v>
      </c>
      <c r="F75" s="1497">
        <f t="shared" si="14"/>
        <v>0</v>
      </c>
      <c r="G75" s="1497">
        <f t="shared" si="14"/>
        <v>0</v>
      </c>
      <c r="H75" s="1418">
        <f>H77+H79+H81+H83</f>
        <v>398.15299999999996</v>
      </c>
      <c r="I75" s="1373">
        <f>I77+I79+I81+I83</f>
        <v>398.15299999999996</v>
      </c>
      <c r="J75" s="1373"/>
      <c r="K75" s="1498">
        <f>K77+K79+K81+K83</f>
        <v>57.612000000000002</v>
      </c>
      <c r="L75" s="1373">
        <f>L77+L79+L81+L83</f>
        <v>57.612000000000002</v>
      </c>
      <c r="M75" s="1499"/>
      <c r="N75" s="782">
        <f t="shared" si="15"/>
        <v>0</v>
      </c>
      <c r="O75" s="694">
        <f t="shared" si="15"/>
        <v>0</v>
      </c>
      <c r="P75" s="694">
        <f t="shared" si="15"/>
        <v>0</v>
      </c>
      <c r="Q75" s="694">
        <f t="shared" si="15"/>
        <v>0</v>
      </c>
      <c r="R75" s="694">
        <f t="shared" si="15"/>
        <v>0</v>
      </c>
      <c r="S75" s="694">
        <f t="shared" si="15"/>
        <v>0</v>
      </c>
      <c r="T75" s="694">
        <f t="shared" si="15"/>
        <v>0</v>
      </c>
      <c r="U75" s="694">
        <f t="shared" si="15"/>
        <v>0</v>
      </c>
      <c r="V75" s="694">
        <f t="shared" si="15"/>
        <v>0</v>
      </c>
      <c r="W75" s="694">
        <f t="shared" si="15"/>
        <v>0</v>
      </c>
      <c r="X75" s="694">
        <f t="shared" si="15"/>
        <v>0</v>
      </c>
    </row>
    <row r="76" spans="1:24">
      <c r="A76" s="1696" t="s">
        <v>85</v>
      </c>
      <c r="B76" s="1671" t="s">
        <v>86</v>
      </c>
      <c r="C76" s="1697" t="s">
        <v>87</v>
      </c>
      <c r="D76" s="1426">
        <f t="shared" ref="D76" si="16">I76+L76</f>
        <v>9.3999999999999986E-2</v>
      </c>
      <c r="E76" s="1427">
        <f t="shared" si="2"/>
        <v>0</v>
      </c>
      <c r="F76" s="1428"/>
      <c r="G76" s="1428"/>
      <c r="H76" s="1430">
        <f t="shared" ref="H76:H85" si="17">I76</f>
        <v>7.8499999999999986E-2</v>
      </c>
      <c r="I76" s="1386">
        <f>0.025+0.0295+0.004+0.001+0.01+0.009</f>
        <v>7.8499999999999986E-2</v>
      </c>
      <c r="J76" s="1386"/>
      <c r="K76" s="1496">
        <f t="shared" ref="K76:K85" si="18">L76</f>
        <v>1.55E-2</v>
      </c>
      <c r="L76" s="1386">
        <f>0.0035+0.002+0.01</f>
        <v>1.55E-2</v>
      </c>
      <c r="M76" s="1452"/>
      <c r="N76" s="714">
        <f t="shared" ref="N76:N87" si="19">O76</f>
        <v>0</v>
      </c>
      <c r="O76" s="787"/>
      <c r="P76" s="698">
        <f t="shared" ref="P76:P87" si="20">Q76</f>
        <v>0</v>
      </c>
      <c r="Q76" s="698"/>
      <c r="R76" s="698">
        <f t="shared" ref="R76:R87" si="21">S76+T76</f>
        <v>0</v>
      </c>
      <c r="S76" s="698"/>
      <c r="T76" s="698"/>
      <c r="U76" s="698">
        <f t="shared" ref="U76:U87" si="22">V76</f>
        <v>0</v>
      </c>
      <c r="V76" s="698"/>
      <c r="W76" s="698">
        <f t="shared" ref="W76:W87" si="23">X76</f>
        <v>0</v>
      </c>
      <c r="X76" s="698"/>
    </row>
    <row r="77" spans="1:24" ht="15.75" thickBot="1">
      <c r="A77" s="1654"/>
      <c r="B77" s="1649"/>
      <c r="C77" s="1698" t="s">
        <v>21</v>
      </c>
      <c r="D77" s="1431">
        <f>H77+K77</f>
        <v>104.387</v>
      </c>
      <c r="E77" s="1432">
        <f t="shared" si="2"/>
        <v>0</v>
      </c>
      <c r="F77" s="1433"/>
      <c r="G77" s="1433"/>
      <c r="H77" s="1418">
        <f t="shared" si="17"/>
        <v>87.356000000000009</v>
      </c>
      <c r="I77" s="1391">
        <f>28.003+30.992+4.156+0.897+10.159+13.149</f>
        <v>87.356000000000009</v>
      </c>
      <c r="J77" s="1391"/>
      <c r="K77" s="1498">
        <f t="shared" si="18"/>
        <v>17.030999999999999</v>
      </c>
      <c r="L77" s="1391">
        <f>3.986+13.045</f>
        <v>17.030999999999999</v>
      </c>
      <c r="M77" s="1471"/>
      <c r="N77" s="714">
        <f t="shared" si="19"/>
        <v>0</v>
      </c>
      <c r="O77" s="787"/>
      <c r="P77" s="698">
        <f t="shared" si="20"/>
        <v>0</v>
      </c>
      <c r="Q77" s="698"/>
      <c r="R77" s="698">
        <f t="shared" si="21"/>
        <v>0</v>
      </c>
      <c r="S77" s="698"/>
      <c r="T77" s="698"/>
      <c r="U77" s="698">
        <f t="shared" si="22"/>
        <v>0</v>
      </c>
      <c r="V77" s="698"/>
      <c r="W77" s="698">
        <f t="shared" si="23"/>
        <v>0</v>
      </c>
      <c r="X77" s="698"/>
    </row>
    <row r="78" spans="1:24">
      <c r="A78" s="785" t="s">
        <v>88</v>
      </c>
      <c r="B78" s="832" t="s">
        <v>89</v>
      </c>
      <c r="C78" s="835" t="s">
        <v>51</v>
      </c>
      <c r="D78" s="1427">
        <f>H78+K78</f>
        <v>0.13599999999999998</v>
      </c>
      <c r="E78" s="1427">
        <f t="shared" si="2"/>
        <v>0</v>
      </c>
      <c r="F78" s="1428"/>
      <c r="G78" s="1428"/>
      <c r="H78" s="1419">
        <f t="shared" si="17"/>
        <v>0.11299999999999999</v>
      </c>
      <c r="I78" s="1383">
        <f>0.005+0.001+0.01+0.003+0.001+0.004+0.004+0.01+0.074+0.001</f>
        <v>0.11299999999999999</v>
      </c>
      <c r="J78" s="1413"/>
      <c r="K78" s="1502">
        <f t="shared" si="18"/>
        <v>2.3E-2</v>
      </c>
      <c r="L78" s="1383">
        <f>0.003+0.012+0.008</f>
        <v>2.3E-2</v>
      </c>
      <c r="M78" s="1363"/>
      <c r="N78" s="714">
        <f t="shared" si="19"/>
        <v>0</v>
      </c>
      <c r="O78" s="787"/>
      <c r="P78" s="698">
        <f t="shared" si="20"/>
        <v>0</v>
      </c>
      <c r="Q78" s="698"/>
      <c r="R78" s="698">
        <f t="shared" si="21"/>
        <v>0</v>
      </c>
      <c r="S78" s="698"/>
      <c r="T78" s="698"/>
      <c r="U78" s="698">
        <f t="shared" si="22"/>
        <v>0</v>
      </c>
      <c r="V78" s="698"/>
      <c r="W78" s="698">
        <f t="shared" si="23"/>
        <v>0</v>
      </c>
      <c r="X78" s="698"/>
    </row>
    <row r="79" spans="1:24" ht="15.75" thickBot="1">
      <c r="A79" s="1448"/>
      <c r="B79" s="1650"/>
      <c r="C79" s="854" t="s">
        <v>21</v>
      </c>
      <c r="D79" s="1126">
        <f>H79+K79</f>
        <v>149.01599999999999</v>
      </c>
      <c r="E79" s="1318">
        <f t="shared" si="2"/>
        <v>0</v>
      </c>
      <c r="F79" s="1400"/>
      <c r="G79" s="1400"/>
      <c r="H79" s="1379">
        <f t="shared" si="17"/>
        <v>123.61299999999999</v>
      </c>
      <c r="I79" s="1381">
        <f>5.694+1.745+11.218+3.238+1.489+8.279+9.993+79.872+2.085</f>
        <v>123.61299999999999</v>
      </c>
      <c r="J79" s="1505"/>
      <c r="K79" s="1503">
        <f t="shared" si="18"/>
        <v>25.402999999999999</v>
      </c>
      <c r="L79" s="1381">
        <f>4.406+13.045+7.952</f>
        <v>25.402999999999999</v>
      </c>
      <c r="M79" s="1362"/>
      <c r="N79" s="714">
        <f t="shared" si="19"/>
        <v>0</v>
      </c>
      <c r="O79" s="787"/>
      <c r="P79" s="698">
        <f t="shared" si="20"/>
        <v>0</v>
      </c>
      <c r="Q79" s="698"/>
      <c r="R79" s="698">
        <f t="shared" si="21"/>
        <v>0</v>
      </c>
      <c r="S79" s="698"/>
      <c r="T79" s="698"/>
      <c r="U79" s="698">
        <f t="shared" si="22"/>
        <v>0</v>
      </c>
      <c r="V79" s="698"/>
      <c r="W79" s="698">
        <f t="shared" si="23"/>
        <v>0</v>
      </c>
      <c r="X79" s="698"/>
    </row>
    <row r="80" spans="1:24">
      <c r="A80" s="1696" t="s">
        <v>90</v>
      </c>
      <c r="B80" s="1671" t="s">
        <v>91</v>
      </c>
      <c r="C80" s="1708" t="s">
        <v>51</v>
      </c>
      <c r="D80" s="1126">
        <f t="shared" ref="D80:D94" si="24">H80+K80</f>
        <v>0.13699999999999998</v>
      </c>
      <c r="E80" s="1710">
        <f t="shared" ref="E80:E99" si="25">F80+G80</f>
        <v>0</v>
      </c>
      <c r="F80" s="1428"/>
      <c r="G80" s="1428"/>
      <c r="H80" s="1419">
        <f t="shared" si="17"/>
        <v>0.12559999999999999</v>
      </c>
      <c r="I80" s="1386">
        <f>0.003+0.002+0.004+0.001+0.001+0.001+0.0004+0.013+0.0245+0.007+0.0025+0.003+0.022+0.005+0.03+0.0004+0.0004+0.002+0.002+0.0004+0.001</f>
        <v>0.12559999999999999</v>
      </c>
      <c r="J80" s="1410"/>
      <c r="K80" s="1496">
        <f t="shared" si="18"/>
        <v>1.14E-2</v>
      </c>
      <c r="L80" s="1386">
        <f>0.0004+0.006+0.001+0.003+0.001</f>
        <v>1.14E-2</v>
      </c>
      <c r="M80" s="1452"/>
      <c r="N80" s="714">
        <f t="shared" si="19"/>
        <v>0</v>
      </c>
      <c r="O80" s="787"/>
      <c r="P80" s="698">
        <f t="shared" si="20"/>
        <v>0</v>
      </c>
      <c r="Q80" s="698"/>
      <c r="R80" s="698">
        <f t="shared" si="21"/>
        <v>0</v>
      </c>
      <c r="S80" s="698"/>
      <c r="T80" s="698"/>
      <c r="U80" s="698">
        <f t="shared" si="22"/>
        <v>0</v>
      </c>
      <c r="V80" s="698"/>
      <c r="W80" s="698">
        <f t="shared" si="23"/>
        <v>0</v>
      </c>
      <c r="X80" s="698"/>
    </row>
    <row r="81" spans="1:24" ht="15.75" thickBot="1">
      <c r="A81" s="1654"/>
      <c r="B81" s="1649"/>
      <c r="C81" s="1709" t="s">
        <v>21</v>
      </c>
      <c r="D81" s="1126">
        <f t="shared" si="24"/>
        <v>135.47</v>
      </c>
      <c r="E81" s="1711">
        <f t="shared" si="25"/>
        <v>0</v>
      </c>
      <c r="F81" s="1433"/>
      <c r="G81" s="1433"/>
      <c r="H81" s="1418">
        <f t="shared" si="17"/>
        <v>123.465</v>
      </c>
      <c r="I81" s="1380">
        <f>3.802+2.375+5.572+1.902+1.136+1.663+0.408+15.239+21.442+8.752+2.197+2.635+19.929+4.392+24.307+0.881+0.814+2.43+1.947+0.441+1.201</f>
        <v>123.465</v>
      </c>
      <c r="J81" s="1506"/>
      <c r="K81" s="1504">
        <f t="shared" si="18"/>
        <v>12.005000000000001</v>
      </c>
      <c r="L81" s="1380">
        <f>0.572+8.813+1.339+1.281</f>
        <v>12.005000000000001</v>
      </c>
      <c r="M81" s="1471"/>
      <c r="N81" s="714">
        <f t="shared" si="19"/>
        <v>0</v>
      </c>
      <c r="O81" s="787"/>
      <c r="P81" s="698">
        <f t="shared" si="20"/>
        <v>0</v>
      </c>
      <c r="Q81" s="698"/>
      <c r="R81" s="698">
        <f t="shared" si="21"/>
        <v>0</v>
      </c>
      <c r="S81" s="698"/>
      <c r="T81" s="698"/>
      <c r="U81" s="698">
        <f t="shared" si="22"/>
        <v>0</v>
      </c>
      <c r="V81" s="698"/>
      <c r="W81" s="698">
        <f t="shared" si="23"/>
        <v>0</v>
      </c>
      <c r="X81" s="698"/>
    </row>
    <row r="82" spans="1:24">
      <c r="A82" s="785" t="s">
        <v>92</v>
      </c>
      <c r="B82" s="832" t="s">
        <v>93</v>
      </c>
      <c r="C82" s="805" t="s">
        <v>51</v>
      </c>
      <c r="D82" s="1126">
        <f t="shared" si="24"/>
        <v>4.1399999999999999E-2</v>
      </c>
      <c r="E82" s="1710">
        <f t="shared" si="25"/>
        <v>0</v>
      </c>
      <c r="F82" s="1428"/>
      <c r="G82" s="1428"/>
      <c r="H82" s="1419">
        <f t="shared" si="17"/>
        <v>3.9399999999999998E-2</v>
      </c>
      <c r="I82" s="1386">
        <f>0.0004+0.006+0.006+0.006+0.018+0.0004+0.001+0.0002+0.001+0.0004</f>
        <v>3.9399999999999998E-2</v>
      </c>
      <c r="J82" s="1386"/>
      <c r="K82" s="1496">
        <f t="shared" si="18"/>
        <v>2E-3</v>
      </c>
      <c r="L82" s="1386">
        <f>0.002</f>
        <v>2E-3</v>
      </c>
      <c r="M82" s="1452"/>
      <c r="N82" s="714">
        <f t="shared" si="19"/>
        <v>0</v>
      </c>
      <c r="O82" s="787"/>
      <c r="P82" s="698">
        <f t="shared" si="20"/>
        <v>0</v>
      </c>
      <c r="Q82" s="698"/>
      <c r="R82" s="698">
        <f t="shared" si="21"/>
        <v>0</v>
      </c>
      <c r="S82" s="698"/>
      <c r="T82" s="698"/>
      <c r="U82" s="698">
        <f t="shared" si="22"/>
        <v>0</v>
      </c>
      <c r="V82" s="698"/>
      <c r="W82" s="698">
        <f t="shared" si="23"/>
        <v>0</v>
      </c>
      <c r="X82" s="698"/>
    </row>
    <row r="83" spans="1:24" ht="15.75" thickBot="1">
      <c r="A83" s="717"/>
      <c r="B83" s="790"/>
      <c r="C83" s="1500" t="s">
        <v>21</v>
      </c>
      <c r="D83" s="1126">
        <f t="shared" si="24"/>
        <v>66.891999999999996</v>
      </c>
      <c r="E83" s="1711">
        <f t="shared" si="25"/>
        <v>0</v>
      </c>
      <c r="F83" s="1433"/>
      <c r="G83" s="1433"/>
      <c r="H83" s="1418">
        <f t="shared" si="17"/>
        <v>63.719000000000001</v>
      </c>
      <c r="I83" s="1380">
        <f>0.676+19.121+9.258+29.742+0.676+0.516+0.165+0.56+3.005</f>
        <v>63.719000000000001</v>
      </c>
      <c r="J83" s="1391"/>
      <c r="K83" s="1498">
        <f t="shared" si="18"/>
        <v>3.173</v>
      </c>
      <c r="L83" s="1380">
        <f>3.173</f>
        <v>3.173</v>
      </c>
      <c r="M83" s="1471"/>
      <c r="N83" s="714">
        <f t="shared" si="19"/>
        <v>0</v>
      </c>
      <c r="O83" s="719"/>
      <c r="P83" s="698">
        <f t="shared" si="20"/>
        <v>0</v>
      </c>
      <c r="Q83" s="726"/>
      <c r="R83" s="698">
        <f t="shared" si="21"/>
        <v>0</v>
      </c>
      <c r="S83" s="726"/>
      <c r="T83" s="726"/>
      <c r="U83" s="698">
        <f t="shared" si="22"/>
        <v>0</v>
      </c>
      <c r="V83" s="726"/>
      <c r="W83" s="698">
        <f t="shared" si="23"/>
        <v>0</v>
      </c>
      <c r="X83" s="726"/>
    </row>
    <row r="84" spans="1:24">
      <c r="A84" s="711" t="s">
        <v>333</v>
      </c>
      <c r="B84" s="792" t="s">
        <v>94</v>
      </c>
      <c r="C84" s="801" t="s">
        <v>47</v>
      </c>
      <c r="D84" s="1126">
        <f t="shared" si="24"/>
        <v>16</v>
      </c>
      <c r="E84" s="1710">
        <f t="shared" si="25"/>
        <v>0</v>
      </c>
      <c r="F84" s="1428"/>
      <c r="G84" s="1428"/>
      <c r="H84" s="1430">
        <f t="shared" si="17"/>
        <v>11</v>
      </c>
      <c r="I84" s="1386">
        <f>1+1+1+1+1+1+1+1+1+1+1</f>
        <v>11</v>
      </c>
      <c r="J84" s="1386"/>
      <c r="K84" s="1451">
        <f t="shared" si="18"/>
        <v>5</v>
      </c>
      <c r="L84" s="1386">
        <f>1+2+1+1</f>
        <v>5</v>
      </c>
      <c r="M84" s="1452"/>
      <c r="N84" s="714">
        <f t="shared" si="19"/>
        <v>0</v>
      </c>
      <c r="O84" s="736"/>
      <c r="P84" s="698">
        <f t="shared" si="20"/>
        <v>0</v>
      </c>
      <c r="Q84" s="722"/>
      <c r="R84" s="698">
        <f t="shared" si="21"/>
        <v>0</v>
      </c>
      <c r="S84" s="722"/>
      <c r="T84" s="722"/>
      <c r="U84" s="698">
        <f t="shared" si="22"/>
        <v>0</v>
      </c>
      <c r="V84" s="722"/>
      <c r="W84" s="698">
        <f t="shared" si="23"/>
        <v>0</v>
      </c>
      <c r="X84" s="722"/>
    </row>
    <row r="85" spans="1:24" ht="15.75" thickBot="1">
      <c r="A85" s="717"/>
      <c r="B85" s="790"/>
      <c r="C85" s="1500" t="s">
        <v>21</v>
      </c>
      <c r="D85" s="1126">
        <f t="shared" si="24"/>
        <v>102.19219999999999</v>
      </c>
      <c r="E85" s="1711">
        <f t="shared" si="25"/>
        <v>0</v>
      </c>
      <c r="F85" s="1433"/>
      <c r="G85" s="1433"/>
      <c r="H85" s="1418">
        <f t="shared" si="17"/>
        <v>69.30319999999999</v>
      </c>
      <c r="I85" s="1391">
        <f>5.022+5.022+5.16+7.572+6.438+6.201+0.0642+6.334+7.196+5.529+8.948+5.817</f>
        <v>69.30319999999999</v>
      </c>
      <c r="J85" s="1391"/>
      <c r="K85" s="1395">
        <f t="shared" si="18"/>
        <v>32.888999999999996</v>
      </c>
      <c r="L85" s="1391">
        <f>5.512+12.67+8.203+6.504</f>
        <v>32.888999999999996</v>
      </c>
      <c r="M85" s="1394"/>
      <c r="N85" s="714">
        <f t="shared" si="19"/>
        <v>0</v>
      </c>
      <c r="O85" s="719"/>
      <c r="P85" s="698">
        <f t="shared" si="20"/>
        <v>0</v>
      </c>
      <c r="Q85" s="720"/>
      <c r="R85" s="698">
        <f t="shared" si="21"/>
        <v>0</v>
      </c>
      <c r="S85" s="720"/>
      <c r="T85" s="720"/>
      <c r="U85" s="698">
        <f t="shared" si="22"/>
        <v>0</v>
      </c>
      <c r="V85" s="720"/>
      <c r="W85" s="698">
        <f t="shared" si="23"/>
        <v>0</v>
      </c>
      <c r="X85" s="720"/>
    </row>
    <row r="86" spans="1:24" ht="15.75" thickBot="1">
      <c r="A86" s="795" t="s">
        <v>95</v>
      </c>
      <c r="B86" s="792" t="s">
        <v>197</v>
      </c>
      <c r="C86" s="801" t="s">
        <v>47</v>
      </c>
      <c r="D86" s="1126">
        <f t="shared" si="24"/>
        <v>44</v>
      </c>
      <c r="E86" s="1710">
        <f t="shared" si="25"/>
        <v>0</v>
      </c>
      <c r="F86" s="1428"/>
      <c r="G86" s="1428"/>
      <c r="H86" s="1418">
        <f t="shared" ref="H86:H94" si="26">I86</f>
        <v>34</v>
      </c>
      <c r="I86" s="1501">
        <f>6+1+8+4+1+2+4+1+1+2+1+1+1+1</f>
        <v>34</v>
      </c>
      <c r="J86" s="1410"/>
      <c r="K86" s="1386">
        <f>10</f>
        <v>10</v>
      </c>
      <c r="L86" s="1386">
        <f>10</f>
        <v>10</v>
      </c>
      <c r="M86" s="1452"/>
      <c r="N86" s="714">
        <f t="shared" si="19"/>
        <v>0</v>
      </c>
      <c r="O86" s="736"/>
      <c r="P86" s="698">
        <f t="shared" si="20"/>
        <v>0</v>
      </c>
      <c r="Q86" s="722"/>
      <c r="R86" s="698">
        <f t="shared" si="21"/>
        <v>0</v>
      </c>
      <c r="S86" s="722"/>
      <c r="T86" s="722"/>
      <c r="U86" s="698">
        <f t="shared" si="22"/>
        <v>0</v>
      </c>
      <c r="V86" s="722"/>
      <c r="W86" s="698">
        <f t="shared" si="23"/>
        <v>0</v>
      </c>
      <c r="X86" s="722"/>
    </row>
    <row r="87" spans="1:24" ht="15.75" thickBot="1">
      <c r="A87" s="796"/>
      <c r="B87" s="797" t="s">
        <v>97</v>
      </c>
      <c r="C87" s="1500" t="s">
        <v>21</v>
      </c>
      <c r="D87" s="1126">
        <f t="shared" si="24"/>
        <v>66.644999999999996</v>
      </c>
      <c r="E87" s="1712">
        <f t="shared" si="25"/>
        <v>0</v>
      </c>
      <c r="F87" s="1628"/>
      <c r="G87" s="1628"/>
      <c r="H87" s="1418">
        <f t="shared" si="26"/>
        <v>62.780999999999999</v>
      </c>
      <c r="I87" s="1629">
        <f>2.962+0.638+4.24+2.556+1.468+1.434+30.809+0.642+0.686+1.281+13.766+0.544+0.686+1.069</f>
        <v>62.780999999999999</v>
      </c>
      <c r="J87" s="1630"/>
      <c r="K87" s="1631">
        <f>L87</f>
        <v>3.8639999999999999</v>
      </c>
      <c r="L87" s="1464">
        <f>3.864</f>
        <v>3.8639999999999999</v>
      </c>
      <c r="M87" s="1632"/>
      <c r="N87" s="714">
        <f t="shared" si="19"/>
        <v>0</v>
      </c>
      <c r="O87" s="719"/>
      <c r="P87" s="698">
        <f t="shared" si="20"/>
        <v>0</v>
      </c>
      <c r="Q87" s="720"/>
      <c r="R87" s="698">
        <f t="shared" si="21"/>
        <v>0</v>
      </c>
      <c r="S87" s="720"/>
      <c r="T87" s="720"/>
      <c r="U87" s="698">
        <f t="shared" si="22"/>
        <v>0</v>
      </c>
      <c r="V87" s="720"/>
      <c r="W87" s="698">
        <f t="shared" si="23"/>
        <v>0</v>
      </c>
      <c r="X87" s="720"/>
    </row>
    <row r="88" spans="1:24" ht="16.5" thickTop="1" thickBot="1">
      <c r="A88" s="1342" t="s">
        <v>98</v>
      </c>
      <c r="B88" s="1336" t="s">
        <v>99</v>
      </c>
      <c r="C88" s="1342" t="s">
        <v>21</v>
      </c>
      <c r="D88" s="1126">
        <f t="shared" si="24"/>
        <v>252.41800000000001</v>
      </c>
      <c r="E88" s="1507">
        <f t="shared" si="25"/>
        <v>0</v>
      </c>
      <c r="F88" s="1634">
        <f t="shared" ref="F88:G88" si="27">F90+F92+F94</f>
        <v>0</v>
      </c>
      <c r="G88" s="1634">
        <f t="shared" si="27"/>
        <v>0</v>
      </c>
      <c r="H88" s="1418">
        <f t="shared" si="26"/>
        <v>244.815</v>
      </c>
      <c r="I88" s="1635">
        <f>I90+I92+I94</f>
        <v>244.815</v>
      </c>
      <c r="J88" s="1636"/>
      <c r="K88" s="1631">
        <f t="shared" ref="K88:K98" si="28">L88</f>
        <v>7.6029999999999998</v>
      </c>
      <c r="L88" s="1634">
        <f>L90+L92+L94</f>
        <v>7.6029999999999998</v>
      </c>
      <c r="M88" s="1634"/>
      <c r="N88" s="1338">
        <f t="shared" ref="N88:X88" si="29">N90+N92+N94</f>
        <v>0</v>
      </c>
      <c r="O88" s="1338">
        <f t="shared" si="29"/>
        <v>0</v>
      </c>
      <c r="P88" s="1338">
        <f t="shared" si="29"/>
        <v>0</v>
      </c>
      <c r="Q88" s="1338">
        <f t="shared" si="29"/>
        <v>0</v>
      </c>
      <c r="R88" s="1338">
        <f t="shared" si="29"/>
        <v>0</v>
      </c>
      <c r="S88" s="1338">
        <f t="shared" si="29"/>
        <v>0</v>
      </c>
      <c r="T88" s="1338">
        <f t="shared" si="29"/>
        <v>0</v>
      </c>
      <c r="U88" s="1338">
        <f t="shared" si="29"/>
        <v>0</v>
      </c>
      <c r="V88" s="1338">
        <f t="shared" si="29"/>
        <v>0</v>
      </c>
      <c r="W88" s="1338">
        <f t="shared" si="29"/>
        <v>0</v>
      </c>
      <c r="X88" s="1338">
        <f t="shared" si="29"/>
        <v>0</v>
      </c>
    </row>
    <row r="89" spans="1:24" ht="16.5" thickTop="1" thickBot="1">
      <c r="A89" s="751" t="s">
        <v>334</v>
      </c>
      <c r="B89" s="752" t="s">
        <v>100</v>
      </c>
      <c r="C89" s="795" t="s">
        <v>51</v>
      </c>
      <c r="D89" s="1126">
        <f t="shared" si="24"/>
        <v>0.19650000000000001</v>
      </c>
      <c r="E89" s="1319">
        <f t="shared" si="25"/>
        <v>0</v>
      </c>
      <c r="F89" s="1331"/>
      <c r="G89" s="1331"/>
      <c r="H89" s="1418">
        <f t="shared" si="26"/>
        <v>0.19650000000000001</v>
      </c>
      <c r="I89" s="1371">
        <f>0.015+0.005+0.0785+0.005+0.0842+0.0059+0.0029</f>
        <v>0.19650000000000001</v>
      </c>
      <c r="J89" s="1512"/>
      <c r="K89" s="1631">
        <f t="shared" si="28"/>
        <v>0</v>
      </c>
      <c r="L89" s="1331">
        <v>0</v>
      </c>
      <c r="M89" s="1633"/>
      <c r="N89" s="1481">
        <f t="shared" ref="N89:N94" si="30">O89</f>
        <v>0</v>
      </c>
      <c r="O89" s="801"/>
      <c r="P89" s="698">
        <f t="shared" ref="P89:P94" si="31">Q89</f>
        <v>0</v>
      </c>
      <c r="Q89" s="722"/>
      <c r="R89" s="698">
        <f t="shared" ref="R89:R94" si="32">S89+T89</f>
        <v>0</v>
      </c>
      <c r="S89" s="722"/>
      <c r="T89" s="722"/>
      <c r="U89" s="698">
        <f t="shared" ref="U89:U94" si="33">V89</f>
        <v>0</v>
      </c>
      <c r="V89" s="722"/>
      <c r="W89" s="698">
        <f t="shared" ref="W89:W94" si="34">X89</f>
        <v>0</v>
      </c>
      <c r="X89" s="722"/>
    </row>
    <row r="90" spans="1:24" ht="15.75" thickBot="1">
      <c r="A90" s="802"/>
      <c r="B90" s="803" t="s">
        <v>101</v>
      </c>
      <c r="C90" s="1420" t="s">
        <v>21</v>
      </c>
      <c r="D90" s="1126">
        <f t="shared" si="24"/>
        <v>44.194999999999993</v>
      </c>
      <c r="E90" s="1443">
        <f t="shared" si="25"/>
        <v>0</v>
      </c>
      <c r="F90" s="1444"/>
      <c r="G90" s="1444"/>
      <c r="H90" s="1418">
        <f t="shared" si="26"/>
        <v>44.194999999999993</v>
      </c>
      <c r="I90" s="1509">
        <f>1.854+0.5+7.885+0.5+32.573+0.592+0.291</f>
        <v>44.194999999999993</v>
      </c>
      <c r="J90" s="1510"/>
      <c r="K90" s="1503">
        <f t="shared" si="28"/>
        <v>0</v>
      </c>
      <c r="L90" s="1444">
        <v>0</v>
      </c>
      <c r="M90" s="1511"/>
      <c r="N90" s="1481">
        <f t="shared" si="30"/>
        <v>0</v>
      </c>
      <c r="O90" s="804"/>
      <c r="P90" s="698">
        <f t="shared" si="31"/>
        <v>0</v>
      </c>
      <c r="Q90" s="720"/>
      <c r="R90" s="698">
        <f t="shared" si="32"/>
        <v>0</v>
      </c>
      <c r="S90" s="720"/>
      <c r="T90" s="720"/>
      <c r="U90" s="698">
        <f t="shared" si="33"/>
        <v>0</v>
      </c>
      <c r="V90" s="720"/>
      <c r="W90" s="698">
        <f t="shared" si="34"/>
        <v>0</v>
      </c>
      <c r="X90" s="720"/>
    </row>
    <row r="91" spans="1:24" ht="15.75" thickBot="1">
      <c r="A91" s="707" t="s">
        <v>335</v>
      </c>
      <c r="B91" s="708" t="s">
        <v>102</v>
      </c>
      <c r="C91" s="783" t="s">
        <v>47</v>
      </c>
      <c r="D91" s="1126">
        <f t="shared" si="24"/>
        <v>124</v>
      </c>
      <c r="E91" s="1440">
        <f t="shared" si="25"/>
        <v>0</v>
      </c>
      <c r="F91" s="1441"/>
      <c r="G91" s="1441"/>
      <c r="H91" s="1418">
        <f t="shared" si="26"/>
        <v>117</v>
      </c>
      <c r="I91" s="1706">
        <f>21+4+3+3+2+2+20+1+1+1+2+3+1+4+19+12+3+2+2+11</f>
        <v>117</v>
      </c>
      <c r="J91" s="1513"/>
      <c r="K91" s="1126">
        <f t="shared" si="28"/>
        <v>7</v>
      </c>
      <c r="L91" s="1416">
        <f>1+2+1+3</f>
        <v>7</v>
      </c>
      <c r="M91" s="1508"/>
      <c r="N91" s="1481">
        <f t="shared" si="30"/>
        <v>0</v>
      </c>
      <c r="O91" s="805"/>
      <c r="P91" s="698">
        <f t="shared" si="31"/>
        <v>0</v>
      </c>
      <c r="Q91" s="694"/>
      <c r="R91" s="698">
        <f t="shared" si="32"/>
        <v>0</v>
      </c>
      <c r="S91" s="694"/>
      <c r="T91" s="694"/>
      <c r="U91" s="698">
        <f t="shared" si="33"/>
        <v>0</v>
      </c>
      <c r="V91" s="694"/>
      <c r="W91" s="698">
        <f t="shared" si="34"/>
        <v>0</v>
      </c>
      <c r="X91" s="694"/>
    </row>
    <row r="92" spans="1:24" ht="15.75" thickBot="1">
      <c r="A92" s="806"/>
      <c r="B92" s="739" t="s">
        <v>103</v>
      </c>
      <c r="C92" s="695" t="s">
        <v>21</v>
      </c>
      <c r="D92" s="1126">
        <f t="shared" si="24"/>
        <v>95.268000000000001</v>
      </c>
      <c r="E92" s="1443">
        <f t="shared" si="25"/>
        <v>0</v>
      </c>
      <c r="F92" s="1444"/>
      <c r="G92" s="1444"/>
      <c r="H92" s="1418">
        <f t="shared" si="26"/>
        <v>90.67</v>
      </c>
      <c r="I92" s="1699">
        <f>13.284+2.208+6.252+1.692+1.089+3.574+12.711+3.031+3.574+1.089+1.828+2.841+22.857+3.859+1.632+1.089+1.089+6.971</f>
        <v>90.67</v>
      </c>
      <c r="J92" s="1510"/>
      <c r="K92" s="1647">
        <f t="shared" si="28"/>
        <v>4.5979999999999999</v>
      </c>
      <c r="L92" s="1444">
        <f>0.747+1.089+0.544+2.218</f>
        <v>4.5979999999999999</v>
      </c>
      <c r="M92" s="1511"/>
      <c r="N92" s="1481">
        <f t="shared" si="30"/>
        <v>0</v>
      </c>
      <c r="O92" s="807"/>
      <c r="P92" s="698">
        <f t="shared" si="31"/>
        <v>0</v>
      </c>
      <c r="Q92" s="720"/>
      <c r="R92" s="698">
        <f t="shared" si="32"/>
        <v>0</v>
      </c>
      <c r="S92" s="720"/>
      <c r="T92" s="720"/>
      <c r="U92" s="698">
        <f t="shared" si="33"/>
        <v>0</v>
      </c>
      <c r="V92" s="720"/>
      <c r="W92" s="698">
        <f t="shared" si="34"/>
        <v>0</v>
      </c>
      <c r="X92" s="720"/>
    </row>
    <row r="93" spans="1:24" ht="15.75" thickBot="1">
      <c r="A93" s="808" t="s">
        <v>104</v>
      </c>
      <c r="B93" s="752" t="s">
        <v>105</v>
      </c>
      <c r="C93" s="808" t="s">
        <v>47</v>
      </c>
      <c r="D93" s="1126">
        <f t="shared" si="24"/>
        <v>16</v>
      </c>
      <c r="E93" s="1319">
        <f t="shared" si="25"/>
        <v>0</v>
      </c>
      <c r="F93" s="1331"/>
      <c r="G93" s="1331"/>
      <c r="H93" s="1418">
        <f t="shared" si="26"/>
        <v>15</v>
      </c>
      <c r="I93" s="1371">
        <f>1+1+1+2+4+2+2+1+1</f>
        <v>15</v>
      </c>
      <c r="J93" s="1512"/>
      <c r="K93" s="1631">
        <f t="shared" si="28"/>
        <v>1</v>
      </c>
      <c r="L93" s="1331">
        <f>1</f>
        <v>1</v>
      </c>
      <c r="M93" s="1331"/>
      <c r="N93" s="698">
        <f t="shared" si="30"/>
        <v>0</v>
      </c>
      <c r="O93" s="721"/>
      <c r="P93" s="698">
        <f t="shared" si="31"/>
        <v>0</v>
      </c>
      <c r="Q93" s="722"/>
      <c r="R93" s="698">
        <f t="shared" si="32"/>
        <v>0</v>
      </c>
      <c r="S93" s="722"/>
      <c r="T93" s="722"/>
      <c r="U93" s="698">
        <f t="shared" si="33"/>
        <v>0</v>
      </c>
      <c r="V93" s="722"/>
      <c r="W93" s="698">
        <f t="shared" si="34"/>
        <v>0</v>
      </c>
      <c r="X93" s="722"/>
    </row>
    <row r="94" spans="1:24" ht="15.75" thickBot="1">
      <c r="A94" s="809"/>
      <c r="B94" s="810"/>
      <c r="C94" s="809" t="s">
        <v>21</v>
      </c>
      <c r="D94" s="1126">
        <f t="shared" si="24"/>
        <v>112.955</v>
      </c>
      <c r="E94" s="1317">
        <f t="shared" si="25"/>
        <v>0</v>
      </c>
      <c r="F94" s="699"/>
      <c r="G94" s="699"/>
      <c r="H94" s="1418">
        <f t="shared" si="26"/>
        <v>109.95</v>
      </c>
      <c r="I94" s="1370">
        <f>4.725+3.005+0.74+34.078+53.572+6.059+1.71+3.031+3.03</f>
        <v>109.95</v>
      </c>
      <c r="J94" s="1365"/>
      <c r="K94" s="1631">
        <f t="shared" si="28"/>
        <v>3.0049999999999999</v>
      </c>
      <c r="L94" s="699">
        <f>3.005</f>
        <v>3.0049999999999999</v>
      </c>
      <c r="M94" s="699"/>
      <c r="N94" s="698">
        <f t="shared" si="30"/>
        <v>0</v>
      </c>
      <c r="O94" s="715"/>
      <c r="P94" s="698">
        <f t="shared" si="31"/>
        <v>0</v>
      </c>
      <c r="Q94" s="720"/>
      <c r="R94" s="698">
        <f t="shared" si="32"/>
        <v>0</v>
      </c>
      <c r="S94" s="720"/>
      <c r="T94" s="720"/>
      <c r="U94" s="698">
        <f t="shared" si="33"/>
        <v>0</v>
      </c>
      <c r="V94" s="720"/>
      <c r="W94" s="698">
        <f t="shared" si="34"/>
        <v>0</v>
      </c>
      <c r="X94" s="720"/>
    </row>
    <row r="95" spans="1:24" ht="39" customHeight="1" thickTop="1" thickBot="1">
      <c r="A95" s="1343" t="s">
        <v>106</v>
      </c>
      <c r="B95" s="1344" t="s">
        <v>107</v>
      </c>
      <c r="C95" s="1343" t="s">
        <v>21</v>
      </c>
      <c r="D95" s="1507">
        <f>D98</f>
        <v>45.28</v>
      </c>
      <c r="E95" s="1317">
        <f t="shared" si="25"/>
        <v>0</v>
      </c>
      <c r="F95" s="1345">
        <f t="shared" ref="F95:X95" si="35">F96+F97</f>
        <v>0</v>
      </c>
      <c r="G95" s="1345">
        <f t="shared" si="35"/>
        <v>0</v>
      </c>
      <c r="H95" s="1360">
        <f>H98</f>
        <v>45.28</v>
      </c>
      <c r="I95" s="1372">
        <f>I98</f>
        <v>45.28</v>
      </c>
      <c r="J95" s="1366"/>
      <c r="K95" s="1631">
        <f t="shared" si="28"/>
        <v>0</v>
      </c>
      <c r="L95" s="1345">
        <f>L98</f>
        <v>0</v>
      </c>
      <c r="M95" s="1345"/>
      <c r="N95" s="1345">
        <f t="shared" si="35"/>
        <v>0</v>
      </c>
      <c r="O95" s="1345">
        <f t="shared" si="35"/>
        <v>0</v>
      </c>
      <c r="P95" s="1345">
        <f t="shared" si="35"/>
        <v>0</v>
      </c>
      <c r="Q95" s="1345">
        <f t="shared" si="35"/>
        <v>0</v>
      </c>
      <c r="R95" s="1345">
        <f t="shared" si="35"/>
        <v>0</v>
      </c>
      <c r="S95" s="1345">
        <f t="shared" si="35"/>
        <v>0</v>
      </c>
      <c r="T95" s="1345">
        <f t="shared" si="35"/>
        <v>0</v>
      </c>
      <c r="U95" s="1345">
        <f t="shared" si="35"/>
        <v>0</v>
      </c>
      <c r="V95" s="1345">
        <f t="shared" si="35"/>
        <v>0</v>
      </c>
      <c r="W95" s="1345">
        <f t="shared" si="35"/>
        <v>0</v>
      </c>
      <c r="X95" s="1345">
        <f t="shared" si="35"/>
        <v>0</v>
      </c>
    </row>
    <row r="96" spans="1:24" ht="16.5" thickTop="1" thickBot="1">
      <c r="A96" s="684" t="s">
        <v>337</v>
      </c>
      <c r="B96" s="814" t="s">
        <v>304</v>
      </c>
      <c r="C96" s="1346" t="s">
        <v>21</v>
      </c>
      <c r="D96" s="1319">
        <f t="shared" ref="D96:D97" si="36">H96+K96</f>
        <v>0</v>
      </c>
      <c r="E96" s="1317">
        <f t="shared" si="25"/>
        <v>0</v>
      </c>
      <c r="F96" s="699"/>
      <c r="G96" s="699"/>
      <c r="H96" s="1324">
        <v>0</v>
      </c>
      <c r="I96" s="1408">
        <v>0</v>
      </c>
      <c r="J96" s="1382"/>
      <c r="K96" s="1631">
        <f t="shared" si="28"/>
        <v>0</v>
      </c>
      <c r="L96" s="1402">
        <v>0</v>
      </c>
      <c r="M96" s="1402"/>
      <c r="N96" s="698">
        <f>O96</f>
        <v>0</v>
      </c>
      <c r="O96" s="721"/>
      <c r="P96" s="698">
        <f>Q96</f>
        <v>0</v>
      </c>
      <c r="Q96" s="686"/>
      <c r="R96" s="698">
        <f>S96+T96</f>
        <v>0</v>
      </c>
      <c r="S96" s="686"/>
      <c r="T96" s="686"/>
      <c r="U96" s="698">
        <f>V96</f>
        <v>0</v>
      </c>
      <c r="V96" s="686"/>
      <c r="W96" s="698">
        <f>X96</f>
        <v>0</v>
      </c>
      <c r="X96" s="686"/>
    </row>
    <row r="97" spans="1:24" ht="15.75" thickBot="1">
      <c r="A97" s="816" t="s">
        <v>338</v>
      </c>
      <c r="B97" s="814" t="s">
        <v>305</v>
      </c>
      <c r="C97" s="816" t="s">
        <v>21</v>
      </c>
      <c r="D97" s="1317">
        <f t="shared" si="36"/>
        <v>0</v>
      </c>
      <c r="E97" s="1317">
        <f t="shared" si="25"/>
        <v>0</v>
      </c>
      <c r="F97" s="699"/>
      <c r="G97" s="1359"/>
      <c r="H97" s="1515">
        <v>0</v>
      </c>
      <c r="I97" s="1393">
        <v>0</v>
      </c>
      <c r="J97" s="1516"/>
      <c r="K97" s="1631">
        <f t="shared" si="28"/>
        <v>0</v>
      </c>
      <c r="L97" s="1454">
        <v>0</v>
      </c>
      <c r="M97" s="1517"/>
      <c r="N97" s="1481">
        <f>O97</f>
        <v>0</v>
      </c>
      <c r="O97" s="817"/>
      <c r="P97" s="698">
        <f>Q97</f>
        <v>0</v>
      </c>
      <c r="Q97" s="686"/>
      <c r="R97" s="698">
        <f>S97+T97</f>
        <v>0</v>
      </c>
      <c r="S97" s="686"/>
      <c r="T97" s="686"/>
      <c r="U97" s="698">
        <f>V97</f>
        <v>0</v>
      </c>
      <c r="V97" s="686"/>
      <c r="W97" s="698">
        <f>X97</f>
        <v>0</v>
      </c>
      <c r="X97" s="686"/>
    </row>
    <row r="98" spans="1:24" ht="15.75" thickBot="1">
      <c r="A98" s="845" t="s">
        <v>339</v>
      </c>
      <c r="B98" s="1657" t="s">
        <v>111</v>
      </c>
      <c r="C98" s="845" t="s">
        <v>21</v>
      </c>
      <c r="D98" s="1317">
        <f>H98+K98</f>
        <v>45.28</v>
      </c>
      <c r="E98" s="1317">
        <f t="shared" si="25"/>
        <v>0</v>
      </c>
      <c r="F98" s="1402"/>
      <c r="G98" s="1402"/>
      <c r="H98" s="1401">
        <f>I98</f>
        <v>45.28</v>
      </c>
      <c r="I98" s="1404">
        <f>8.138+14.624+17.844+1.003+2.749+0.922</f>
        <v>45.28</v>
      </c>
      <c r="J98" s="1658"/>
      <c r="K98" s="1631">
        <f t="shared" si="28"/>
        <v>0</v>
      </c>
      <c r="L98" s="1659">
        <v>0</v>
      </c>
      <c r="M98" s="1660"/>
      <c r="N98" s="1481">
        <f>O98</f>
        <v>0</v>
      </c>
      <c r="O98" s="817"/>
      <c r="P98" s="698">
        <f>Q98</f>
        <v>0</v>
      </c>
      <c r="Q98" s="686"/>
      <c r="R98" s="698">
        <f>S98+T98</f>
        <v>0</v>
      </c>
      <c r="S98" s="686"/>
      <c r="T98" s="686"/>
      <c r="U98" s="698">
        <f>V98</f>
        <v>0</v>
      </c>
      <c r="V98" s="686"/>
      <c r="W98" s="698">
        <f>X98</f>
        <v>0</v>
      </c>
      <c r="X98" s="686"/>
    </row>
    <row r="99" spans="1:24" ht="16.5" thickTop="1" thickBot="1">
      <c r="A99" s="1661"/>
      <c r="B99" s="1662" t="s">
        <v>112</v>
      </c>
      <c r="C99" s="1663" t="s">
        <v>21</v>
      </c>
      <c r="D99" s="1453">
        <f>H99+K99</f>
        <v>2358.6931999999997</v>
      </c>
      <c r="E99" s="1453">
        <f t="shared" si="25"/>
        <v>0</v>
      </c>
      <c r="F99" s="1605">
        <f t="shared" ref="F99:X99" si="37">F98+F95+F88+F73+F14</f>
        <v>0</v>
      </c>
      <c r="G99" s="1605">
        <f t="shared" si="37"/>
        <v>0</v>
      </c>
      <c r="H99" s="1664">
        <f>H95+H88+H73+H14</f>
        <v>2061.0281999999997</v>
      </c>
      <c r="I99" s="1656">
        <f>I95+I88+I73+I14</f>
        <v>2061.0281999999997</v>
      </c>
      <c r="J99" s="1665"/>
      <c r="K99" s="1631">
        <f>K88+K73+K14</f>
        <v>297.66500000000002</v>
      </c>
      <c r="L99" s="1605">
        <f>L88+L73+L14</f>
        <v>297.66500000000002</v>
      </c>
      <c r="M99" s="1666"/>
      <c r="N99" s="1364">
        <f t="shared" si="37"/>
        <v>0</v>
      </c>
      <c r="O99" s="822">
        <f t="shared" si="37"/>
        <v>0</v>
      </c>
      <c r="P99" s="822">
        <f t="shared" si="37"/>
        <v>0</v>
      </c>
      <c r="Q99" s="822">
        <f t="shared" si="37"/>
        <v>0</v>
      </c>
      <c r="R99" s="822">
        <f t="shared" si="37"/>
        <v>0</v>
      </c>
      <c r="S99" s="822">
        <f t="shared" si="37"/>
        <v>0</v>
      </c>
      <c r="T99" s="822">
        <f t="shared" si="37"/>
        <v>0</v>
      </c>
      <c r="U99" s="822">
        <f t="shared" si="37"/>
        <v>0</v>
      </c>
      <c r="V99" s="822">
        <f t="shared" si="37"/>
        <v>0</v>
      </c>
      <c r="W99" s="822">
        <f t="shared" si="37"/>
        <v>0</v>
      </c>
      <c r="X99" s="822">
        <f t="shared" si="37"/>
        <v>0</v>
      </c>
    </row>
    <row r="100" spans="1:24" ht="12" customHeight="1">
      <c r="A100" s="823"/>
      <c r="B100" s="824"/>
      <c r="C100" s="824"/>
      <c r="D100" s="824">
        <v>80648.726999999999</v>
      </c>
      <c r="E100" s="824">
        <f>80648.727-D99</f>
        <v>78290.033800000005</v>
      </c>
      <c r="F100" s="824"/>
      <c r="G100" s="824"/>
      <c r="H100" s="824"/>
      <c r="I100" s="824"/>
      <c r="J100" s="824"/>
      <c r="K100" s="824"/>
      <c r="L100" s="824"/>
      <c r="M100" s="824"/>
      <c r="N100" s="824"/>
      <c r="O100" s="824"/>
      <c r="P100" s="824"/>
      <c r="Q100" s="824"/>
      <c r="R100" s="824"/>
      <c r="S100" s="824"/>
      <c r="T100" s="824"/>
      <c r="U100" s="824"/>
      <c r="V100" s="824"/>
      <c r="W100" s="824"/>
      <c r="X100" s="824"/>
    </row>
    <row r="101" spans="1:24" hidden="1">
      <c r="A101" s="825"/>
      <c r="B101" s="825"/>
      <c r="C101" s="825"/>
      <c r="D101" s="1177">
        <f>I52</f>
        <v>4.1070000000000002</v>
      </c>
      <c r="E101" s="825"/>
      <c r="F101" s="825"/>
      <c r="G101" s="825"/>
      <c r="H101" s="825"/>
      <c r="I101" s="825">
        <f>H98-I98</f>
        <v>0</v>
      </c>
      <c r="J101" s="825">
        <f>I98+E100</f>
        <v>78335.313800000004</v>
      </c>
      <c r="K101" s="825"/>
      <c r="L101" s="825"/>
      <c r="M101" s="825">
        <f>9567.184-K99</f>
        <v>9269.5189999999984</v>
      </c>
      <c r="N101" s="825"/>
      <c r="O101" s="825"/>
      <c r="P101" s="825"/>
      <c r="Q101" s="825"/>
      <c r="R101" s="825"/>
      <c r="S101" s="825"/>
      <c r="T101" s="825"/>
      <c r="U101" s="825"/>
      <c r="V101" s="825"/>
      <c r="W101" s="825"/>
      <c r="X101" s="825"/>
    </row>
    <row r="102" spans="1:24" ht="15.75" thickBot="1">
      <c r="A102" s="1733" t="s">
        <v>113</v>
      </c>
      <c r="B102" s="1733"/>
      <c r="C102" s="1733"/>
      <c r="D102" s="1733"/>
      <c r="E102" s="1733"/>
      <c r="F102" s="1733"/>
      <c r="G102" s="1733"/>
      <c r="H102" s="1733"/>
      <c r="I102" s="1733"/>
      <c r="J102" s="1733"/>
      <c r="K102" s="1733"/>
      <c r="L102" s="1733"/>
      <c r="M102" s="1733"/>
      <c r="N102" s="1734"/>
      <c r="O102" s="1734"/>
      <c r="P102" s="1734"/>
      <c r="Q102" s="1734"/>
      <c r="R102" s="1734"/>
      <c r="S102" s="1734"/>
      <c r="T102" s="1734"/>
      <c r="U102" s="826"/>
      <c r="V102" s="826"/>
      <c r="W102" s="826"/>
      <c r="X102" s="826"/>
    </row>
    <row r="103" spans="1:24" ht="10.5" customHeight="1" thickBot="1">
      <c r="A103" s="1525" t="s">
        <v>336</v>
      </c>
      <c r="B103" s="1537" t="s">
        <v>115</v>
      </c>
      <c r="C103" s="1525" t="s">
        <v>47</v>
      </c>
      <c r="D103" s="1601">
        <f t="shared" ref="D103:D128" si="38">E103+H103+K103+N103+P103+R103+U103+W103</f>
        <v>0</v>
      </c>
      <c r="E103" s="1572">
        <f t="shared" ref="E103:E128" si="39">F103+G103</f>
        <v>0</v>
      </c>
      <c r="F103" s="1573"/>
      <c r="G103" s="1574"/>
      <c r="H103" s="1561">
        <f t="shared" ref="H103:H139" si="40">I103+J103</f>
        <v>0</v>
      </c>
      <c r="I103" s="1557"/>
      <c r="J103" s="1556"/>
      <c r="K103" s="1575">
        <f t="shared" ref="K103:K139" si="41">L103+M103</f>
        <v>0</v>
      </c>
      <c r="L103" s="1557"/>
      <c r="M103" s="1556"/>
      <c r="N103" s="1481">
        <f t="shared" ref="N103:N139" si="42">O103</f>
        <v>0</v>
      </c>
      <c r="O103" s="721"/>
      <c r="P103" s="698">
        <f t="shared" ref="P103:P139" si="43">Q103</f>
        <v>0</v>
      </c>
      <c r="Q103" s="801"/>
      <c r="R103" s="698">
        <f t="shared" ref="R103:R139" si="44">S103+T103</f>
        <v>0</v>
      </c>
      <c r="S103" s="735"/>
      <c r="T103" s="827"/>
      <c r="U103" s="698">
        <f t="shared" ref="U103:U139" si="45">V103</f>
        <v>0</v>
      </c>
      <c r="V103" s="735"/>
      <c r="W103" s="698">
        <f t="shared" ref="W103:W139" si="46">X103</f>
        <v>0</v>
      </c>
      <c r="X103" s="735"/>
    </row>
    <row r="104" spans="1:24" ht="10.5" customHeight="1" thickBot="1">
      <c r="A104" s="1526"/>
      <c r="B104" s="1538" t="s">
        <v>116</v>
      </c>
      <c r="C104" s="1526" t="s">
        <v>21</v>
      </c>
      <c r="D104" s="1546">
        <f t="shared" si="38"/>
        <v>0</v>
      </c>
      <c r="E104" s="1551">
        <f t="shared" si="39"/>
        <v>0</v>
      </c>
      <c r="F104" s="1547"/>
      <c r="G104" s="1570"/>
      <c r="H104" s="1555">
        <f t="shared" si="40"/>
        <v>0</v>
      </c>
      <c r="I104" s="1560"/>
      <c r="J104" s="1521"/>
      <c r="K104" s="1564">
        <f t="shared" si="41"/>
        <v>0</v>
      </c>
      <c r="L104" s="1560"/>
      <c r="M104" s="1521"/>
      <c r="N104" s="1481">
        <f t="shared" si="42"/>
        <v>0</v>
      </c>
      <c r="O104" s="715"/>
      <c r="P104" s="698">
        <f t="shared" si="43"/>
        <v>0</v>
      </c>
      <c r="Q104" s="829"/>
      <c r="R104" s="698">
        <f t="shared" si="44"/>
        <v>0</v>
      </c>
      <c r="S104" s="742"/>
      <c r="T104" s="830"/>
      <c r="U104" s="698">
        <f t="shared" si="45"/>
        <v>0</v>
      </c>
      <c r="V104" s="831"/>
      <c r="W104" s="698">
        <f t="shared" si="46"/>
        <v>0</v>
      </c>
      <c r="X104" s="831"/>
    </row>
    <row r="105" spans="1:24" ht="11.25" customHeight="1" thickBot="1">
      <c r="A105" s="1527" t="s">
        <v>218</v>
      </c>
      <c r="B105" s="1539" t="s">
        <v>118</v>
      </c>
      <c r="C105" s="1527" t="s">
        <v>47</v>
      </c>
      <c r="D105" s="782">
        <f t="shared" si="38"/>
        <v>0</v>
      </c>
      <c r="E105" s="694">
        <f t="shared" si="39"/>
        <v>0</v>
      </c>
      <c r="F105" s="834"/>
      <c r="G105" s="844"/>
      <c r="H105" s="1562">
        <f t="shared" si="40"/>
        <v>0</v>
      </c>
      <c r="I105" s="1567"/>
      <c r="J105" s="1566"/>
      <c r="K105" s="1333">
        <f t="shared" si="41"/>
        <v>0</v>
      </c>
      <c r="L105" s="1567"/>
      <c r="M105" s="1566"/>
      <c r="N105" s="1481">
        <f t="shared" si="42"/>
        <v>0</v>
      </c>
      <c r="O105" s="721"/>
      <c r="P105" s="698">
        <f t="shared" si="43"/>
        <v>0</v>
      </c>
      <c r="Q105" s="795"/>
      <c r="R105" s="698">
        <f t="shared" si="44"/>
        <v>0</v>
      </c>
      <c r="S105" s="782"/>
      <c r="T105" s="808"/>
      <c r="U105" s="698">
        <f t="shared" si="45"/>
        <v>0</v>
      </c>
      <c r="V105" s="722"/>
      <c r="W105" s="698">
        <f t="shared" si="46"/>
        <v>0</v>
      </c>
      <c r="X105" s="722"/>
    </row>
    <row r="106" spans="1:24" ht="10.5" customHeight="1" thickBot="1">
      <c r="A106" s="1528"/>
      <c r="B106" s="1528"/>
      <c r="C106" s="1528" t="s">
        <v>21</v>
      </c>
      <c r="D106" s="1524">
        <f t="shared" si="38"/>
        <v>0</v>
      </c>
      <c r="E106" s="1472">
        <f t="shared" si="39"/>
        <v>0</v>
      </c>
      <c r="F106" s="736"/>
      <c r="G106" s="744"/>
      <c r="H106" s="1600">
        <f t="shared" si="40"/>
        <v>0</v>
      </c>
      <c r="I106" s="1598"/>
      <c r="J106" s="1586"/>
      <c r="K106" s="1483">
        <f t="shared" si="41"/>
        <v>0</v>
      </c>
      <c r="L106" s="1598"/>
      <c r="M106" s="1586"/>
      <c r="N106" s="1481">
        <f t="shared" si="42"/>
        <v>0</v>
      </c>
      <c r="O106" s="719"/>
      <c r="P106" s="698">
        <f t="shared" si="43"/>
        <v>0</v>
      </c>
      <c r="Q106" s="717"/>
      <c r="R106" s="698">
        <f t="shared" si="44"/>
        <v>0</v>
      </c>
      <c r="S106" s="742"/>
      <c r="T106" s="790"/>
      <c r="U106" s="698">
        <f t="shared" si="45"/>
        <v>0</v>
      </c>
      <c r="V106" s="720"/>
      <c r="W106" s="698">
        <f t="shared" si="46"/>
        <v>0</v>
      </c>
      <c r="X106" s="720"/>
    </row>
    <row r="107" spans="1:24" ht="13.5" customHeight="1" thickBot="1">
      <c r="A107" s="1527" t="s">
        <v>321</v>
      </c>
      <c r="B107" s="1539" t="s">
        <v>120</v>
      </c>
      <c r="C107" s="1527" t="s">
        <v>47</v>
      </c>
      <c r="D107" s="1601">
        <f t="shared" si="38"/>
        <v>0</v>
      </c>
      <c r="E107" s="1572">
        <f t="shared" si="39"/>
        <v>0</v>
      </c>
      <c r="F107" s="1573"/>
      <c r="G107" s="1574"/>
      <c r="H107" s="1561">
        <f t="shared" si="40"/>
        <v>0</v>
      </c>
      <c r="I107" s="1557"/>
      <c r="J107" s="1556"/>
      <c r="K107" s="1575">
        <f t="shared" si="41"/>
        <v>0</v>
      </c>
      <c r="L107" s="1557"/>
      <c r="M107" s="1556"/>
      <c r="N107" s="1481">
        <f t="shared" si="42"/>
        <v>0</v>
      </c>
      <c r="O107" s="721"/>
      <c r="P107" s="698">
        <f t="shared" si="43"/>
        <v>0</v>
      </c>
      <c r="Q107" s="795"/>
      <c r="R107" s="698">
        <f t="shared" si="44"/>
        <v>0</v>
      </c>
      <c r="S107" s="735"/>
      <c r="T107" s="808"/>
      <c r="U107" s="698">
        <f t="shared" si="45"/>
        <v>0</v>
      </c>
      <c r="V107" s="722"/>
      <c r="W107" s="698">
        <f t="shared" si="46"/>
        <v>0</v>
      </c>
      <c r="X107" s="722"/>
    </row>
    <row r="108" spans="1:24" ht="11.25" customHeight="1" thickBot="1">
      <c r="A108" s="1528"/>
      <c r="B108" s="1528"/>
      <c r="C108" s="1528" t="s">
        <v>21</v>
      </c>
      <c r="D108" s="1546">
        <f t="shared" si="38"/>
        <v>0</v>
      </c>
      <c r="E108" s="1551">
        <f t="shared" si="39"/>
        <v>0</v>
      </c>
      <c r="F108" s="1547"/>
      <c r="G108" s="1570"/>
      <c r="H108" s="1555">
        <f t="shared" si="40"/>
        <v>0</v>
      </c>
      <c r="I108" s="1560"/>
      <c r="J108" s="1521"/>
      <c r="K108" s="1564">
        <f t="shared" si="41"/>
        <v>0</v>
      </c>
      <c r="L108" s="1560"/>
      <c r="M108" s="1521"/>
      <c r="N108" s="1481">
        <f t="shared" si="42"/>
        <v>0</v>
      </c>
      <c r="O108" s="719"/>
      <c r="P108" s="698">
        <f t="shared" si="43"/>
        <v>0</v>
      </c>
      <c r="Q108" s="717"/>
      <c r="R108" s="698">
        <f t="shared" si="44"/>
        <v>0</v>
      </c>
      <c r="S108" s="742"/>
      <c r="T108" s="790"/>
      <c r="U108" s="698">
        <f t="shared" si="45"/>
        <v>0</v>
      </c>
      <c r="V108" s="720"/>
      <c r="W108" s="698">
        <f t="shared" si="46"/>
        <v>0</v>
      </c>
      <c r="X108" s="720"/>
    </row>
    <row r="109" spans="1:24" ht="10.5" customHeight="1" thickBot="1">
      <c r="A109" s="1529" t="s">
        <v>320</v>
      </c>
      <c r="B109" s="1540" t="s">
        <v>122</v>
      </c>
      <c r="C109" s="1529" t="s">
        <v>24</v>
      </c>
      <c r="D109" s="782">
        <f t="shared" si="38"/>
        <v>0</v>
      </c>
      <c r="E109" s="694">
        <f t="shared" si="39"/>
        <v>0</v>
      </c>
      <c r="F109" s="834"/>
      <c r="G109" s="844"/>
      <c r="H109" s="1562">
        <f t="shared" si="40"/>
        <v>0</v>
      </c>
      <c r="I109" s="1567"/>
      <c r="J109" s="1566"/>
      <c r="K109" s="1333">
        <f t="shared" si="41"/>
        <v>0</v>
      </c>
      <c r="L109" s="1567"/>
      <c r="M109" s="1566"/>
      <c r="N109" s="1481">
        <f t="shared" si="42"/>
        <v>0</v>
      </c>
      <c r="O109" s="834"/>
      <c r="P109" s="698">
        <f t="shared" si="43"/>
        <v>0</v>
      </c>
      <c r="Q109" s="805"/>
      <c r="R109" s="698">
        <f t="shared" si="44"/>
        <v>0</v>
      </c>
      <c r="S109" s="782"/>
      <c r="T109" s="835"/>
      <c r="U109" s="698">
        <f t="shared" si="45"/>
        <v>0</v>
      </c>
      <c r="V109" s="782"/>
      <c r="W109" s="698">
        <f t="shared" si="46"/>
        <v>0</v>
      </c>
      <c r="X109" s="782"/>
    </row>
    <row r="110" spans="1:24" ht="12" customHeight="1" thickBot="1">
      <c r="A110" s="1528"/>
      <c r="B110" s="1536" t="s">
        <v>123</v>
      </c>
      <c r="C110" s="1528" t="s">
        <v>21</v>
      </c>
      <c r="D110" s="1524">
        <f t="shared" si="38"/>
        <v>0</v>
      </c>
      <c r="E110" s="1472">
        <f t="shared" si="39"/>
        <v>0</v>
      </c>
      <c r="F110" s="736"/>
      <c r="G110" s="744"/>
      <c r="H110" s="1600">
        <f t="shared" si="40"/>
        <v>0</v>
      </c>
      <c r="I110" s="1598"/>
      <c r="J110" s="1586"/>
      <c r="K110" s="1483">
        <f t="shared" si="41"/>
        <v>0</v>
      </c>
      <c r="L110" s="1598"/>
      <c r="M110" s="1586"/>
      <c r="N110" s="1481">
        <f t="shared" si="42"/>
        <v>0</v>
      </c>
      <c r="O110" s="836"/>
      <c r="P110" s="698">
        <f t="shared" si="43"/>
        <v>0</v>
      </c>
      <c r="Q110" s="807"/>
      <c r="R110" s="698">
        <f t="shared" si="44"/>
        <v>0</v>
      </c>
      <c r="S110" s="837"/>
      <c r="T110" s="838"/>
      <c r="U110" s="698">
        <f t="shared" si="45"/>
        <v>0</v>
      </c>
      <c r="V110" s="837"/>
      <c r="W110" s="698">
        <f t="shared" si="46"/>
        <v>0</v>
      </c>
      <c r="X110" s="837"/>
    </row>
    <row r="111" spans="1:24" ht="10.5" customHeight="1" thickBot="1">
      <c r="A111" s="1529" t="s">
        <v>319</v>
      </c>
      <c r="B111" s="1540" t="s">
        <v>125</v>
      </c>
      <c r="C111" s="1529" t="s">
        <v>47</v>
      </c>
      <c r="D111" s="1601">
        <f t="shared" si="38"/>
        <v>0</v>
      </c>
      <c r="E111" s="1572">
        <f t="shared" si="39"/>
        <v>0</v>
      </c>
      <c r="F111" s="1573"/>
      <c r="G111" s="1574"/>
      <c r="H111" s="1561">
        <f t="shared" si="40"/>
        <v>0</v>
      </c>
      <c r="I111" s="1557"/>
      <c r="J111" s="1556"/>
      <c r="K111" s="1575">
        <f t="shared" si="41"/>
        <v>0</v>
      </c>
      <c r="L111" s="1557"/>
      <c r="M111" s="1556"/>
      <c r="N111" s="1481">
        <f t="shared" si="42"/>
        <v>0</v>
      </c>
      <c r="O111" s="721"/>
      <c r="P111" s="698">
        <f t="shared" si="43"/>
        <v>0</v>
      </c>
      <c r="Q111" s="801"/>
      <c r="R111" s="698">
        <f t="shared" si="44"/>
        <v>0</v>
      </c>
      <c r="S111" s="735"/>
      <c r="T111" s="827"/>
      <c r="U111" s="698">
        <f t="shared" si="45"/>
        <v>0</v>
      </c>
      <c r="V111" s="735"/>
      <c r="W111" s="698">
        <f t="shared" si="46"/>
        <v>0</v>
      </c>
      <c r="X111" s="735"/>
    </row>
    <row r="112" spans="1:24" ht="10.5" customHeight="1" thickBot="1">
      <c r="A112" s="1530"/>
      <c r="B112" s="1541"/>
      <c r="C112" s="1530" t="s">
        <v>21</v>
      </c>
      <c r="D112" s="1546">
        <f t="shared" si="38"/>
        <v>0</v>
      </c>
      <c r="E112" s="1551">
        <f t="shared" si="39"/>
        <v>0</v>
      </c>
      <c r="F112" s="1547"/>
      <c r="G112" s="1570"/>
      <c r="H112" s="1555">
        <f t="shared" si="40"/>
        <v>0</v>
      </c>
      <c r="I112" s="1560"/>
      <c r="J112" s="1521"/>
      <c r="K112" s="1564">
        <f t="shared" si="41"/>
        <v>0</v>
      </c>
      <c r="L112" s="1560"/>
      <c r="M112" s="1521"/>
      <c r="N112" s="1481">
        <f t="shared" si="42"/>
        <v>0</v>
      </c>
      <c r="O112" s="836"/>
      <c r="P112" s="698">
        <f t="shared" si="43"/>
        <v>0</v>
      </c>
      <c r="Q112" s="807"/>
      <c r="R112" s="698">
        <f t="shared" si="44"/>
        <v>0</v>
      </c>
      <c r="S112" s="837"/>
      <c r="T112" s="838"/>
      <c r="U112" s="698">
        <f t="shared" si="45"/>
        <v>0</v>
      </c>
      <c r="V112" s="837"/>
      <c r="W112" s="698">
        <f t="shared" si="46"/>
        <v>0</v>
      </c>
      <c r="X112" s="837"/>
    </row>
    <row r="113" spans="1:24" ht="12" customHeight="1" thickBot="1">
      <c r="A113" s="1527" t="s">
        <v>57</v>
      </c>
      <c r="B113" s="1539" t="s">
        <v>127</v>
      </c>
      <c r="C113" s="1527" t="s">
        <v>51</v>
      </c>
      <c r="D113" s="782">
        <f t="shared" si="38"/>
        <v>0</v>
      </c>
      <c r="E113" s="694">
        <f t="shared" si="39"/>
        <v>0</v>
      </c>
      <c r="F113" s="834"/>
      <c r="G113" s="844"/>
      <c r="H113" s="1562">
        <f t="shared" si="40"/>
        <v>0</v>
      </c>
      <c r="I113" s="1567"/>
      <c r="J113" s="1566"/>
      <c r="K113" s="1333">
        <f t="shared" si="41"/>
        <v>0</v>
      </c>
      <c r="L113" s="1567"/>
      <c r="M113" s="1566"/>
      <c r="N113" s="1481">
        <f t="shared" si="42"/>
        <v>0</v>
      </c>
      <c r="O113" s="721"/>
      <c r="P113" s="698">
        <f t="shared" si="43"/>
        <v>0</v>
      </c>
      <c r="Q113" s="801"/>
      <c r="R113" s="698">
        <f t="shared" si="44"/>
        <v>0</v>
      </c>
      <c r="S113" s="735"/>
      <c r="T113" s="827"/>
      <c r="U113" s="698">
        <f t="shared" si="45"/>
        <v>0</v>
      </c>
      <c r="V113" s="735"/>
      <c r="W113" s="698">
        <f t="shared" si="46"/>
        <v>0</v>
      </c>
      <c r="X113" s="735"/>
    </row>
    <row r="114" spans="1:24" ht="12" customHeight="1" thickBot="1">
      <c r="A114" s="1528"/>
      <c r="B114" s="1536"/>
      <c r="C114" s="1528" t="s">
        <v>128</v>
      </c>
      <c r="D114" s="1524">
        <f t="shared" si="38"/>
        <v>0</v>
      </c>
      <c r="E114" s="1472">
        <f t="shared" si="39"/>
        <v>0</v>
      </c>
      <c r="F114" s="736"/>
      <c r="G114" s="744"/>
      <c r="H114" s="1600">
        <f t="shared" si="40"/>
        <v>0</v>
      </c>
      <c r="I114" s="1598"/>
      <c r="J114" s="1586"/>
      <c r="K114" s="1483">
        <f t="shared" si="41"/>
        <v>0</v>
      </c>
      <c r="L114" s="1598"/>
      <c r="M114" s="1586"/>
      <c r="N114" s="1481">
        <f t="shared" si="42"/>
        <v>0</v>
      </c>
      <c r="O114" s="719"/>
      <c r="P114" s="698">
        <f t="shared" si="43"/>
        <v>0</v>
      </c>
      <c r="Q114" s="804"/>
      <c r="R114" s="698">
        <f t="shared" si="44"/>
        <v>0</v>
      </c>
      <c r="S114" s="742"/>
      <c r="T114" s="839"/>
      <c r="U114" s="698">
        <f t="shared" si="45"/>
        <v>0</v>
      </c>
      <c r="V114" s="742"/>
      <c r="W114" s="698">
        <f t="shared" si="46"/>
        <v>0</v>
      </c>
      <c r="X114" s="742"/>
    </row>
    <row r="115" spans="1:24" ht="12.75" customHeight="1" thickBot="1">
      <c r="A115" s="1684" t="s">
        <v>318</v>
      </c>
      <c r="B115" s="1540" t="s">
        <v>129</v>
      </c>
      <c r="C115" s="1529" t="s">
        <v>130</v>
      </c>
      <c r="D115" s="1601">
        <f t="shared" si="38"/>
        <v>0</v>
      </c>
      <c r="E115" s="1572">
        <f t="shared" si="39"/>
        <v>0</v>
      </c>
      <c r="F115" s="1573"/>
      <c r="G115" s="1574"/>
      <c r="H115" s="1561">
        <f t="shared" si="40"/>
        <v>0</v>
      </c>
      <c r="I115" s="1557"/>
      <c r="J115" s="1556"/>
      <c r="K115" s="1575">
        <f t="shared" si="41"/>
        <v>0</v>
      </c>
      <c r="L115" s="1557"/>
      <c r="M115" s="1556"/>
      <c r="N115" s="1481">
        <f t="shared" si="42"/>
        <v>0</v>
      </c>
      <c r="O115" s="834"/>
      <c r="P115" s="698">
        <f t="shared" si="43"/>
        <v>0</v>
      </c>
      <c r="Q115" s="805"/>
      <c r="R115" s="698">
        <f t="shared" si="44"/>
        <v>0</v>
      </c>
      <c r="S115" s="782"/>
      <c r="T115" s="835"/>
      <c r="U115" s="698">
        <f t="shared" si="45"/>
        <v>0</v>
      </c>
      <c r="V115" s="782"/>
      <c r="W115" s="698">
        <f t="shared" si="46"/>
        <v>0</v>
      </c>
      <c r="X115" s="782"/>
    </row>
    <row r="116" spans="1:24" ht="12" customHeight="1" thickBot="1">
      <c r="A116" s="1528"/>
      <c r="B116" s="1528"/>
      <c r="C116" s="1528" t="s">
        <v>21</v>
      </c>
      <c r="D116" s="1546">
        <f t="shared" si="38"/>
        <v>0</v>
      </c>
      <c r="E116" s="1551">
        <f t="shared" si="39"/>
        <v>0</v>
      </c>
      <c r="F116" s="1547"/>
      <c r="G116" s="1570"/>
      <c r="H116" s="1555">
        <f t="shared" si="40"/>
        <v>0</v>
      </c>
      <c r="I116" s="1560"/>
      <c r="J116" s="1521"/>
      <c r="K116" s="1564">
        <f t="shared" si="41"/>
        <v>0</v>
      </c>
      <c r="L116" s="1560"/>
      <c r="M116" s="1521"/>
      <c r="N116" s="1481">
        <f t="shared" si="42"/>
        <v>0</v>
      </c>
      <c r="O116" s="836"/>
      <c r="P116" s="698">
        <f t="shared" si="43"/>
        <v>0</v>
      </c>
      <c r="Q116" s="807"/>
      <c r="R116" s="698">
        <f t="shared" si="44"/>
        <v>0</v>
      </c>
      <c r="S116" s="837"/>
      <c r="T116" s="838"/>
      <c r="U116" s="698">
        <f t="shared" si="45"/>
        <v>0</v>
      </c>
      <c r="V116" s="837"/>
      <c r="W116" s="698">
        <f t="shared" si="46"/>
        <v>0</v>
      </c>
      <c r="X116" s="837"/>
    </row>
    <row r="117" spans="1:24" ht="10.5" customHeight="1" thickBot="1">
      <c r="A117" s="1685" t="s">
        <v>322</v>
      </c>
      <c r="B117" s="1539" t="s">
        <v>131</v>
      </c>
      <c r="C117" s="1527" t="s">
        <v>47</v>
      </c>
      <c r="D117" s="782">
        <f t="shared" si="38"/>
        <v>0</v>
      </c>
      <c r="E117" s="694">
        <f t="shared" si="39"/>
        <v>0</v>
      </c>
      <c r="F117" s="834"/>
      <c r="G117" s="844"/>
      <c r="H117" s="1562">
        <f t="shared" si="40"/>
        <v>0</v>
      </c>
      <c r="I117" s="1567"/>
      <c r="J117" s="1566"/>
      <c r="K117" s="1333">
        <f t="shared" si="41"/>
        <v>0</v>
      </c>
      <c r="L117" s="1567"/>
      <c r="M117" s="1566"/>
      <c r="N117" s="1481">
        <f t="shared" si="42"/>
        <v>0</v>
      </c>
      <c r="O117" s="721"/>
      <c r="P117" s="698">
        <f t="shared" si="43"/>
        <v>0</v>
      </c>
      <c r="Q117" s="801"/>
      <c r="R117" s="698">
        <f t="shared" si="44"/>
        <v>0</v>
      </c>
      <c r="S117" s="735"/>
      <c r="T117" s="827"/>
      <c r="U117" s="698">
        <f t="shared" si="45"/>
        <v>0</v>
      </c>
      <c r="V117" s="735"/>
      <c r="W117" s="698">
        <f t="shared" si="46"/>
        <v>0</v>
      </c>
      <c r="X117" s="735"/>
    </row>
    <row r="118" spans="1:24" ht="10.5" customHeight="1" thickBot="1">
      <c r="A118" s="1686"/>
      <c r="B118" s="1536" t="s">
        <v>132</v>
      </c>
      <c r="C118" s="1528" t="s">
        <v>21</v>
      </c>
      <c r="D118" s="1524">
        <f t="shared" si="38"/>
        <v>0</v>
      </c>
      <c r="E118" s="1472">
        <f t="shared" si="39"/>
        <v>0</v>
      </c>
      <c r="F118" s="736"/>
      <c r="G118" s="744"/>
      <c r="H118" s="1600">
        <f t="shared" si="40"/>
        <v>0</v>
      </c>
      <c r="I118" s="1598"/>
      <c r="J118" s="1586"/>
      <c r="K118" s="1483">
        <f t="shared" si="41"/>
        <v>0</v>
      </c>
      <c r="L118" s="1598"/>
      <c r="M118" s="1586"/>
      <c r="N118" s="1481">
        <f t="shared" si="42"/>
        <v>0</v>
      </c>
      <c r="O118" s="836"/>
      <c r="P118" s="698">
        <f t="shared" si="43"/>
        <v>0</v>
      </c>
      <c r="Q118" s="807"/>
      <c r="R118" s="698">
        <f t="shared" si="44"/>
        <v>0</v>
      </c>
      <c r="S118" s="837"/>
      <c r="T118" s="838"/>
      <c r="U118" s="698">
        <f t="shared" si="45"/>
        <v>0</v>
      </c>
      <c r="V118" s="837"/>
      <c r="W118" s="698">
        <f t="shared" si="46"/>
        <v>0</v>
      </c>
      <c r="X118" s="837"/>
    </row>
    <row r="119" spans="1:24" ht="12" customHeight="1" thickBot="1">
      <c r="A119" s="1685" t="s">
        <v>323</v>
      </c>
      <c r="B119" s="1539" t="s">
        <v>133</v>
      </c>
      <c r="C119" s="1527" t="s">
        <v>134</v>
      </c>
      <c r="D119" s="1601">
        <f t="shared" si="38"/>
        <v>0</v>
      </c>
      <c r="E119" s="1572">
        <f t="shared" si="39"/>
        <v>0</v>
      </c>
      <c r="F119" s="1573"/>
      <c r="G119" s="1574"/>
      <c r="H119" s="1561">
        <f t="shared" si="40"/>
        <v>0</v>
      </c>
      <c r="I119" s="1557"/>
      <c r="J119" s="1556"/>
      <c r="K119" s="1575">
        <f t="shared" si="41"/>
        <v>0</v>
      </c>
      <c r="L119" s="1557"/>
      <c r="M119" s="1556"/>
      <c r="N119" s="1481">
        <f t="shared" si="42"/>
        <v>0</v>
      </c>
      <c r="O119" s="721"/>
      <c r="P119" s="698">
        <f t="shared" si="43"/>
        <v>0</v>
      </c>
      <c r="Q119" s="801"/>
      <c r="R119" s="698">
        <f t="shared" si="44"/>
        <v>0</v>
      </c>
      <c r="S119" s="735"/>
      <c r="T119" s="827"/>
      <c r="U119" s="698">
        <f t="shared" si="45"/>
        <v>0</v>
      </c>
      <c r="V119" s="735"/>
      <c r="W119" s="698">
        <f t="shared" si="46"/>
        <v>0</v>
      </c>
      <c r="X119" s="735"/>
    </row>
    <row r="120" spans="1:24" ht="12.75" customHeight="1" thickBot="1">
      <c r="A120" s="1528"/>
      <c r="B120" s="1536" t="s">
        <v>135</v>
      </c>
      <c r="C120" s="1528" t="s">
        <v>21</v>
      </c>
      <c r="D120" s="1546">
        <f t="shared" si="38"/>
        <v>0</v>
      </c>
      <c r="E120" s="1551">
        <f t="shared" si="39"/>
        <v>0</v>
      </c>
      <c r="F120" s="1547"/>
      <c r="G120" s="1570"/>
      <c r="H120" s="1555">
        <f t="shared" si="40"/>
        <v>0</v>
      </c>
      <c r="I120" s="1560"/>
      <c r="J120" s="1521"/>
      <c r="K120" s="1564">
        <f t="shared" si="41"/>
        <v>0</v>
      </c>
      <c r="L120" s="1560"/>
      <c r="M120" s="1521"/>
      <c r="N120" s="1481">
        <f t="shared" si="42"/>
        <v>0</v>
      </c>
      <c r="O120" s="836"/>
      <c r="P120" s="698">
        <f t="shared" si="43"/>
        <v>0</v>
      </c>
      <c r="Q120" s="807"/>
      <c r="R120" s="698">
        <f t="shared" si="44"/>
        <v>0</v>
      </c>
      <c r="S120" s="837"/>
      <c r="T120" s="838"/>
      <c r="U120" s="698">
        <f t="shared" si="45"/>
        <v>0</v>
      </c>
      <c r="V120" s="837"/>
      <c r="W120" s="698">
        <f t="shared" si="46"/>
        <v>0</v>
      </c>
      <c r="X120" s="837"/>
    </row>
    <row r="121" spans="1:24" ht="12.75" customHeight="1" thickBot="1">
      <c r="A121" s="1527" t="s">
        <v>324</v>
      </c>
      <c r="B121" s="1539" t="s">
        <v>137</v>
      </c>
      <c r="C121" s="1527" t="s">
        <v>21</v>
      </c>
      <c r="D121" s="1601">
        <f t="shared" si="38"/>
        <v>0</v>
      </c>
      <c r="E121" s="1572">
        <f t="shared" si="39"/>
        <v>0</v>
      </c>
      <c r="F121" s="1573"/>
      <c r="G121" s="1574"/>
      <c r="H121" s="1561">
        <f t="shared" si="40"/>
        <v>0</v>
      </c>
      <c r="I121" s="1557">
        <v>0</v>
      </c>
      <c r="J121" s="1556"/>
      <c r="K121" s="1575">
        <f t="shared" si="41"/>
        <v>0</v>
      </c>
      <c r="L121" s="1557"/>
      <c r="M121" s="1556"/>
      <c r="N121" s="1481">
        <f t="shared" si="42"/>
        <v>0</v>
      </c>
      <c r="O121" s="721"/>
      <c r="P121" s="698">
        <f t="shared" si="43"/>
        <v>0</v>
      </c>
      <c r="Q121" s="842"/>
      <c r="R121" s="698">
        <f t="shared" si="44"/>
        <v>0</v>
      </c>
      <c r="S121" s="735"/>
      <c r="T121" s="843"/>
      <c r="U121" s="698">
        <f t="shared" si="45"/>
        <v>0</v>
      </c>
      <c r="V121" s="722"/>
      <c r="W121" s="698">
        <f t="shared" si="46"/>
        <v>0</v>
      </c>
      <c r="X121" s="722"/>
    </row>
    <row r="122" spans="1:24" ht="10.5" customHeight="1" thickBot="1">
      <c r="A122" s="1533" t="s">
        <v>138</v>
      </c>
      <c r="B122" s="1529" t="s">
        <v>139</v>
      </c>
      <c r="C122" s="1529" t="s">
        <v>21</v>
      </c>
      <c r="D122" s="1546">
        <f t="shared" si="38"/>
        <v>0</v>
      </c>
      <c r="E122" s="1551">
        <f t="shared" si="39"/>
        <v>0</v>
      </c>
      <c r="F122" s="1547"/>
      <c r="G122" s="1570"/>
      <c r="H122" s="1555">
        <f t="shared" si="40"/>
        <v>0</v>
      </c>
      <c r="I122" s="1560"/>
      <c r="J122" s="1521"/>
      <c r="K122" s="1564">
        <f t="shared" si="41"/>
        <v>0</v>
      </c>
      <c r="L122" s="1560"/>
      <c r="M122" s="1521"/>
      <c r="N122" s="1481">
        <f t="shared" si="42"/>
        <v>0</v>
      </c>
      <c r="O122" s="834"/>
      <c r="P122" s="698">
        <f t="shared" si="43"/>
        <v>0</v>
      </c>
      <c r="Q122" s="844"/>
      <c r="R122" s="698">
        <f t="shared" si="44"/>
        <v>0</v>
      </c>
      <c r="S122" s="782"/>
      <c r="T122" s="834"/>
      <c r="U122" s="698">
        <f t="shared" si="45"/>
        <v>0</v>
      </c>
      <c r="V122" s="694"/>
      <c r="W122" s="698">
        <f t="shared" si="46"/>
        <v>0</v>
      </c>
      <c r="X122" s="694"/>
    </row>
    <row r="123" spans="1:24" ht="12" customHeight="1" thickBot="1">
      <c r="A123" s="1531" t="s">
        <v>325</v>
      </c>
      <c r="B123" s="1542" t="s">
        <v>141</v>
      </c>
      <c r="C123" s="1531" t="s">
        <v>21</v>
      </c>
      <c r="D123" s="831">
        <f t="shared" si="38"/>
        <v>0</v>
      </c>
      <c r="E123" s="724">
        <f t="shared" si="39"/>
        <v>0</v>
      </c>
      <c r="F123" s="715"/>
      <c r="G123" s="1602"/>
      <c r="H123" s="1603">
        <f t="shared" si="40"/>
        <v>0</v>
      </c>
      <c r="I123" s="1565"/>
      <c r="J123" s="1563"/>
      <c r="K123" s="1349">
        <f t="shared" si="41"/>
        <v>0</v>
      </c>
      <c r="L123" s="1565"/>
      <c r="M123" s="1563"/>
      <c r="N123" s="1481">
        <f t="shared" si="42"/>
        <v>0</v>
      </c>
      <c r="O123" s="736"/>
      <c r="P123" s="698">
        <f t="shared" si="43"/>
        <v>0</v>
      </c>
      <c r="Q123" s="744"/>
      <c r="R123" s="698">
        <f t="shared" si="44"/>
        <v>0</v>
      </c>
      <c r="S123" s="760"/>
      <c r="T123" s="736"/>
      <c r="U123" s="698">
        <f t="shared" si="45"/>
        <v>0</v>
      </c>
      <c r="V123" s="737"/>
      <c r="W123" s="698">
        <f t="shared" si="46"/>
        <v>0</v>
      </c>
      <c r="X123" s="737"/>
    </row>
    <row r="124" spans="1:24" ht="12" customHeight="1" thickBot="1">
      <c r="A124" s="1532" t="s">
        <v>326</v>
      </c>
      <c r="B124" s="1543" t="s">
        <v>143</v>
      </c>
      <c r="C124" s="1532" t="s">
        <v>21</v>
      </c>
      <c r="D124" s="1604">
        <f t="shared" si="38"/>
        <v>0</v>
      </c>
      <c r="E124" s="1605">
        <f t="shared" si="39"/>
        <v>0</v>
      </c>
      <c r="F124" s="1606"/>
      <c r="G124" s="1607"/>
      <c r="H124" s="1608">
        <f t="shared" si="40"/>
        <v>0</v>
      </c>
      <c r="I124" s="1609"/>
      <c r="J124" s="1610"/>
      <c r="K124" s="1611">
        <f t="shared" si="41"/>
        <v>0</v>
      </c>
      <c r="L124" s="1609"/>
      <c r="M124" s="1610"/>
      <c r="N124" s="1481">
        <f t="shared" si="42"/>
        <v>0</v>
      </c>
      <c r="O124" s="817"/>
      <c r="P124" s="698">
        <f t="shared" si="43"/>
        <v>0</v>
      </c>
      <c r="Q124" s="848"/>
      <c r="R124" s="698">
        <f t="shared" si="44"/>
        <v>0</v>
      </c>
      <c r="S124" s="849"/>
      <c r="T124" s="817"/>
      <c r="U124" s="698">
        <f t="shared" si="45"/>
        <v>0</v>
      </c>
      <c r="V124" s="686"/>
      <c r="W124" s="698">
        <f t="shared" si="46"/>
        <v>0</v>
      </c>
      <c r="X124" s="686"/>
    </row>
    <row r="125" spans="1:24" ht="12" customHeight="1" thickBot="1">
      <c r="A125" s="1687" t="s">
        <v>327</v>
      </c>
      <c r="B125" s="1542" t="s">
        <v>144</v>
      </c>
      <c r="C125" s="1531" t="s">
        <v>21</v>
      </c>
      <c r="D125" s="831">
        <f t="shared" si="38"/>
        <v>0</v>
      </c>
      <c r="E125" s="724">
        <f t="shared" si="39"/>
        <v>0</v>
      </c>
      <c r="F125" s="715"/>
      <c r="G125" s="1602"/>
      <c r="H125" s="1603">
        <f t="shared" si="40"/>
        <v>0</v>
      </c>
      <c r="I125" s="1565"/>
      <c r="J125" s="1563"/>
      <c r="K125" s="1349">
        <f t="shared" si="41"/>
        <v>0</v>
      </c>
      <c r="L125" s="1565"/>
      <c r="M125" s="1563"/>
      <c r="N125" s="1481">
        <f t="shared" si="42"/>
        <v>0</v>
      </c>
      <c r="O125" s="736"/>
      <c r="P125" s="698">
        <f t="shared" si="43"/>
        <v>0</v>
      </c>
      <c r="Q125" s="744"/>
      <c r="R125" s="698">
        <f t="shared" si="44"/>
        <v>0</v>
      </c>
      <c r="S125" s="760"/>
      <c r="T125" s="736"/>
      <c r="U125" s="698">
        <f t="shared" si="45"/>
        <v>0</v>
      </c>
      <c r="V125" s="737"/>
      <c r="W125" s="698">
        <f t="shared" si="46"/>
        <v>0</v>
      </c>
      <c r="X125" s="737"/>
    </row>
    <row r="126" spans="1:24" ht="11.25" customHeight="1" thickBot="1">
      <c r="A126" s="1687" t="s">
        <v>328</v>
      </c>
      <c r="B126" s="1544" t="s">
        <v>145</v>
      </c>
      <c r="C126" s="1531" t="s">
        <v>21</v>
      </c>
      <c r="D126" s="1604">
        <f t="shared" si="38"/>
        <v>0</v>
      </c>
      <c r="E126" s="1605">
        <f t="shared" si="39"/>
        <v>0</v>
      </c>
      <c r="F126" s="1606"/>
      <c r="G126" s="1607"/>
      <c r="H126" s="1608">
        <f t="shared" si="40"/>
        <v>0</v>
      </c>
      <c r="I126" s="1609">
        <v>0</v>
      </c>
      <c r="J126" s="1610"/>
      <c r="K126" s="1611">
        <f t="shared" si="41"/>
        <v>0</v>
      </c>
      <c r="L126" s="1609"/>
      <c r="M126" s="1610"/>
      <c r="N126" s="1481">
        <f t="shared" si="42"/>
        <v>0</v>
      </c>
      <c r="O126" s="736"/>
      <c r="P126" s="698">
        <f t="shared" si="43"/>
        <v>0</v>
      </c>
      <c r="Q126" s="744"/>
      <c r="R126" s="698">
        <f t="shared" si="44"/>
        <v>0</v>
      </c>
      <c r="S126" s="760"/>
      <c r="T126" s="736"/>
      <c r="U126" s="698">
        <f t="shared" si="45"/>
        <v>0</v>
      </c>
      <c r="V126" s="737"/>
      <c r="W126" s="698">
        <f t="shared" si="46"/>
        <v>0</v>
      </c>
      <c r="X126" s="737"/>
    </row>
    <row r="127" spans="1:24" ht="12.75" customHeight="1" thickBot="1">
      <c r="A127" s="1532" t="s">
        <v>329</v>
      </c>
      <c r="B127" s="1543" t="s">
        <v>147</v>
      </c>
      <c r="C127" s="1532" t="s">
        <v>21</v>
      </c>
      <c r="D127" s="1604">
        <f t="shared" si="38"/>
        <v>0</v>
      </c>
      <c r="E127" s="1605">
        <f t="shared" si="39"/>
        <v>0</v>
      </c>
      <c r="F127" s="1606"/>
      <c r="G127" s="1607"/>
      <c r="H127" s="1608">
        <f t="shared" si="40"/>
        <v>0</v>
      </c>
      <c r="I127" s="1609">
        <v>0</v>
      </c>
      <c r="J127" s="1610"/>
      <c r="K127" s="1611">
        <f t="shared" si="41"/>
        <v>0</v>
      </c>
      <c r="L127" s="1609"/>
      <c r="M127" s="1610"/>
      <c r="N127" s="1481">
        <f t="shared" si="42"/>
        <v>0</v>
      </c>
      <c r="O127" s="817"/>
      <c r="P127" s="698">
        <f t="shared" si="43"/>
        <v>0</v>
      </c>
      <c r="Q127" s="848"/>
      <c r="R127" s="698">
        <f t="shared" si="44"/>
        <v>0</v>
      </c>
      <c r="S127" s="849"/>
      <c r="T127" s="817"/>
      <c r="U127" s="698">
        <f t="shared" si="45"/>
        <v>0</v>
      </c>
      <c r="V127" s="686"/>
      <c r="W127" s="698">
        <f t="shared" si="46"/>
        <v>0</v>
      </c>
      <c r="X127" s="686"/>
    </row>
    <row r="128" spans="1:24" ht="12.75" customHeight="1">
      <c r="A128" s="1685" t="s">
        <v>330</v>
      </c>
      <c r="B128" s="1539" t="s">
        <v>148</v>
      </c>
      <c r="C128" s="1527" t="s">
        <v>21</v>
      </c>
      <c r="D128" s="782">
        <f t="shared" si="38"/>
        <v>0</v>
      </c>
      <c r="E128" s="694">
        <f t="shared" si="39"/>
        <v>0</v>
      </c>
      <c r="F128" s="834"/>
      <c r="G128" s="844"/>
      <c r="H128" s="1562">
        <f t="shared" si="40"/>
        <v>0</v>
      </c>
      <c r="I128" s="1567">
        <v>0</v>
      </c>
      <c r="J128" s="1566"/>
      <c r="K128" s="1333">
        <f t="shared" si="41"/>
        <v>0</v>
      </c>
      <c r="L128" s="1567"/>
      <c r="M128" s="1566"/>
      <c r="N128" s="1481">
        <f t="shared" si="42"/>
        <v>0</v>
      </c>
      <c r="O128" s="722"/>
      <c r="P128" s="698">
        <f t="shared" si="43"/>
        <v>0</v>
      </c>
      <c r="Q128" s="851"/>
      <c r="R128" s="698">
        <f t="shared" si="44"/>
        <v>0</v>
      </c>
      <c r="S128" s="735"/>
      <c r="T128" s="722"/>
      <c r="U128" s="698">
        <f t="shared" si="45"/>
        <v>0</v>
      </c>
      <c r="V128" s="722"/>
      <c r="W128" s="698">
        <f t="shared" si="46"/>
        <v>0</v>
      </c>
      <c r="X128" s="722"/>
    </row>
    <row r="129" spans="1:24" ht="13.5" customHeight="1" thickBot="1">
      <c r="A129" s="1549" t="s">
        <v>149</v>
      </c>
      <c r="B129" s="1549" t="s">
        <v>150</v>
      </c>
      <c r="C129" s="1549" t="s">
        <v>128</v>
      </c>
      <c r="D129" s="1550">
        <f>D131+D133+D135+D137</f>
        <v>0</v>
      </c>
      <c r="E129" s="1551">
        <f>E131+E133+E135+E137</f>
        <v>0</v>
      </c>
      <c r="F129" s="1551">
        <f>F131+F133+F135+F137</f>
        <v>0</v>
      </c>
      <c r="G129" s="1552">
        <f>G131+G133+G135+G137</f>
        <v>0</v>
      </c>
      <c r="H129" s="1555">
        <f t="shared" si="40"/>
        <v>0</v>
      </c>
      <c r="I129" s="1568">
        <f>I131+I133+I135+I137</f>
        <v>0</v>
      </c>
      <c r="J129" s="1569">
        <f>J131+J133+J135+J137</f>
        <v>0</v>
      </c>
      <c r="K129" s="1564">
        <f t="shared" si="41"/>
        <v>0</v>
      </c>
      <c r="L129" s="1568">
        <f>L131+L133+L135+L137</f>
        <v>0</v>
      </c>
      <c r="M129" s="1569">
        <f>M131+M133+M135+M137</f>
        <v>0</v>
      </c>
      <c r="N129" s="1481">
        <f t="shared" si="42"/>
        <v>0</v>
      </c>
      <c r="O129" s="698">
        <f>O131+O133+O135+O137</f>
        <v>0</v>
      </c>
      <c r="P129" s="698">
        <f t="shared" si="43"/>
        <v>0</v>
      </c>
      <c r="Q129" s="698">
        <f>Q131+Q133+Q135+Q137</f>
        <v>0</v>
      </c>
      <c r="R129" s="698">
        <f t="shared" si="44"/>
        <v>0</v>
      </c>
      <c r="S129" s="698">
        <f>S131+S133+S135+S137</f>
        <v>0</v>
      </c>
      <c r="T129" s="698">
        <f>T131+T133+T135+T137</f>
        <v>0</v>
      </c>
      <c r="U129" s="698">
        <f t="shared" si="45"/>
        <v>0</v>
      </c>
      <c r="V129" s="698">
        <f>V131+V133+V135+V137</f>
        <v>0</v>
      </c>
      <c r="W129" s="698">
        <f t="shared" si="46"/>
        <v>0</v>
      </c>
      <c r="X129" s="698">
        <f>X131+X133+X135+X137</f>
        <v>0</v>
      </c>
    </row>
    <row r="130" spans="1:24" ht="12.75" customHeight="1" thickBot="1">
      <c r="A130" s="1529" t="s">
        <v>151</v>
      </c>
      <c r="B130" s="1529" t="s">
        <v>152</v>
      </c>
      <c r="C130" s="1529" t="s">
        <v>47</v>
      </c>
      <c r="D130" s="782">
        <f t="shared" ref="D130:D139" si="47">E130+H130+K130+N130+P130+R130+U130+W130</f>
        <v>0</v>
      </c>
      <c r="E130" s="694">
        <f t="shared" ref="E130:E139" si="48">F130+G130</f>
        <v>0</v>
      </c>
      <c r="F130" s="834"/>
      <c r="G130" s="844"/>
      <c r="H130" s="1562">
        <f t="shared" si="40"/>
        <v>0</v>
      </c>
      <c r="I130" s="1567"/>
      <c r="J130" s="1566"/>
      <c r="K130" s="1333">
        <f t="shared" si="41"/>
        <v>0</v>
      </c>
      <c r="L130" s="1567"/>
      <c r="M130" s="1566"/>
      <c r="N130" s="1481">
        <f t="shared" si="42"/>
        <v>0</v>
      </c>
      <c r="O130" s="834"/>
      <c r="P130" s="698">
        <f t="shared" si="43"/>
        <v>0</v>
      </c>
      <c r="Q130" s="844"/>
      <c r="R130" s="698">
        <f t="shared" si="44"/>
        <v>0</v>
      </c>
      <c r="S130" s="782"/>
      <c r="T130" s="834"/>
      <c r="U130" s="698">
        <f t="shared" si="45"/>
        <v>0</v>
      </c>
      <c r="V130" s="694"/>
      <c r="W130" s="698">
        <f t="shared" si="46"/>
        <v>0</v>
      </c>
      <c r="X130" s="694"/>
    </row>
    <row r="131" spans="1:24" ht="12" customHeight="1" thickBot="1">
      <c r="A131" s="1549"/>
      <c r="B131" s="1549"/>
      <c r="C131" s="1549" t="s">
        <v>21</v>
      </c>
      <c r="D131" s="1550">
        <f t="shared" si="47"/>
        <v>0</v>
      </c>
      <c r="E131" s="1551">
        <f t="shared" si="48"/>
        <v>0</v>
      </c>
      <c r="F131" s="1547"/>
      <c r="G131" s="1570"/>
      <c r="H131" s="1555">
        <f t="shared" si="40"/>
        <v>0</v>
      </c>
      <c r="I131" s="1560"/>
      <c r="J131" s="1521"/>
      <c r="K131" s="1564">
        <f t="shared" si="41"/>
        <v>0</v>
      </c>
      <c r="L131" s="1560"/>
      <c r="M131" s="1521"/>
      <c r="N131" s="1481">
        <f t="shared" si="42"/>
        <v>0</v>
      </c>
      <c r="O131" s="787"/>
      <c r="P131" s="698">
        <f t="shared" si="43"/>
        <v>0</v>
      </c>
      <c r="Q131" s="853"/>
      <c r="R131" s="698">
        <f t="shared" si="44"/>
        <v>0</v>
      </c>
      <c r="S131" s="714"/>
      <c r="T131" s="787"/>
      <c r="U131" s="698">
        <f t="shared" si="45"/>
        <v>0</v>
      </c>
      <c r="V131" s="698"/>
      <c r="W131" s="698">
        <f t="shared" si="46"/>
        <v>0</v>
      </c>
      <c r="X131" s="698"/>
    </row>
    <row r="132" spans="1:24" ht="13.5" customHeight="1" thickBot="1">
      <c r="A132" s="1525" t="s">
        <v>153</v>
      </c>
      <c r="B132" s="1525" t="s">
        <v>154</v>
      </c>
      <c r="C132" s="1525" t="s">
        <v>47</v>
      </c>
      <c r="D132" s="1571">
        <f t="shared" si="47"/>
        <v>0</v>
      </c>
      <c r="E132" s="1572">
        <f t="shared" si="48"/>
        <v>0</v>
      </c>
      <c r="F132" s="1573"/>
      <c r="G132" s="1574"/>
      <c r="H132" s="1561">
        <f t="shared" si="40"/>
        <v>0</v>
      </c>
      <c r="I132" s="1557"/>
      <c r="J132" s="1556"/>
      <c r="K132" s="1575">
        <f t="shared" si="41"/>
        <v>0</v>
      </c>
      <c r="L132" s="1557"/>
      <c r="M132" s="1556"/>
      <c r="N132" s="1481">
        <f t="shared" si="42"/>
        <v>0</v>
      </c>
      <c r="O132" s="787"/>
      <c r="P132" s="698">
        <f t="shared" si="43"/>
        <v>0</v>
      </c>
      <c r="Q132" s="853"/>
      <c r="R132" s="698">
        <f t="shared" si="44"/>
        <v>0</v>
      </c>
      <c r="S132" s="714"/>
      <c r="T132" s="787"/>
      <c r="U132" s="698">
        <f t="shared" si="45"/>
        <v>0</v>
      </c>
      <c r="V132" s="698"/>
      <c r="W132" s="698">
        <f t="shared" si="46"/>
        <v>0</v>
      </c>
      <c r="X132" s="698"/>
    </row>
    <row r="133" spans="1:24" ht="10.5" customHeight="1" thickBot="1">
      <c r="A133" s="1549"/>
      <c r="B133" s="1549"/>
      <c r="C133" s="1549" t="s">
        <v>155</v>
      </c>
      <c r="D133" s="1550">
        <f t="shared" si="47"/>
        <v>0</v>
      </c>
      <c r="E133" s="1551">
        <f t="shared" si="48"/>
        <v>0</v>
      </c>
      <c r="F133" s="1547"/>
      <c r="G133" s="1570"/>
      <c r="H133" s="1555">
        <f t="shared" si="40"/>
        <v>0</v>
      </c>
      <c r="I133" s="1560"/>
      <c r="J133" s="1521"/>
      <c r="K133" s="1564">
        <f t="shared" si="41"/>
        <v>0</v>
      </c>
      <c r="L133" s="1560"/>
      <c r="M133" s="1521"/>
      <c r="N133" s="1481">
        <f t="shared" si="42"/>
        <v>0</v>
      </c>
      <c r="O133" s="787"/>
      <c r="P133" s="698">
        <f t="shared" si="43"/>
        <v>0</v>
      </c>
      <c r="Q133" s="853"/>
      <c r="R133" s="698">
        <f t="shared" si="44"/>
        <v>0</v>
      </c>
      <c r="S133" s="714"/>
      <c r="T133" s="787"/>
      <c r="U133" s="698">
        <f t="shared" si="45"/>
        <v>0</v>
      </c>
      <c r="V133" s="698"/>
      <c r="W133" s="698">
        <f t="shared" si="46"/>
        <v>0</v>
      </c>
      <c r="X133" s="698"/>
    </row>
    <row r="134" spans="1:24" ht="12.75" customHeight="1" thickBot="1">
      <c r="A134" s="1525" t="s">
        <v>156</v>
      </c>
      <c r="B134" s="1525" t="s">
        <v>157</v>
      </c>
      <c r="C134" s="1525" t="s">
        <v>47</v>
      </c>
      <c r="D134" s="1571">
        <f t="shared" si="47"/>
        <v>0</v>
      </c>
      <c r="E134" s="1572">
        <f t="shared" si="48"/>
        <v>0</v>
      </c>
      <c r="F134" s="1573"/>
      <c r="G134" s="1574"/>
      <c r="H134" s="1561">
        <f t="shared" si="40"/>
        <v>0</v>
      </c>
      <c r="I134" s="1557"/>
      <c r="J134" s="1556"/>
      <c r="K134" s="1575">
        <f t="shared" si="41"/>
        <v>0</v>
      </c>
      <c r="L134" s="1557"/>
      <c r="M134" s="1556"/>
      <c r="N134" s="1481">
        <f t="shared" si="42"/>
        <v>0</v>
      </c>
      <c r="O134" s="787"/>
      <c r="P134" s="698">
        <f t="shared" si="43"/>
        <v>0</v>
      </c>
      <c r="Q134" s="853"/>
      <c r="R134" s="698">
        <f t="shared" si="44"/>
        <v>0</v>
      </c>
      <c r="S134" s="714"/>
      <c r="T134" s="787"/>
      <c r="U134" s="698">
        <f t="shared" si="45"/>
        <v>0</v>
      </c>
      <c r="V134" s="698"/>
      <c r="W134" s="698">
        <f t="shared" si="46"/>
        <v>0</v>
      </c>
      <c r="X134" s="698"/>
    </row>
    <row r="135" spans="1:24" ht="12" customHeight="1" thickBot="1">
      <c r="A135" s="1549"/>
      <c r="B135" s="1549" t="s">
        <v>158</v>
      </c>
      <c r="C135" s="1549" t="s">
        <v>21</v>
      </c>
      <c r="D135" s="1550">
        <f t="shared" si="47"/>
        <v>0</v>
      </c>
      <c r="E135" s="1551">
        <f t="shared" si="48"/>
        <v>0</v>
      </c>
      <c r="F135" s="1547"/>
      <c r="G135" s="1570"/>
      <c r="H135" s="1555">
        <f t="shared" si="40"/>
        <v>0</v>
      </c>
      <c r="I135" s="1560"/>
      <c r="J135" s="1521"/>
      <c r="K135" s="1564">
        <f t="shared" si="41"/>
        <v>0</v>
      </c>
      <c r="L135" s="1560"/>
      <c r="M135" s="1521"/>
      <c r="N135" s="1481">
        <f t="shared" si="42"/>
        <v>0</v>
      </c>
      <c r="O135" s="787"/>
      <c r="P135" s="698">
        <f t="shared" si="43"/>
        <v>0</v>
      </c>
      <c r="Q135" s="853"/>
      <c r="R135" s="698">
        <f t="shared" si="44"/>
        <v>0</v>
      </c>
      <c r="S135" s="714"/>
      <c r="T135" s="787"/>
      <c r="U135" s="698">
        <f t="shared" si="45"/>
        <v>0</v>
      </c>
      <c r="V135" s="698"/>
      <c r="W135" s="698">
        <f t="shared" si="46"/>
        <v>0</v>
      </c>
      <c r="X135" s="698"/>
    </row>
    <row r="136" spans="1:24" ht="12" customHeight="1" thickBot="1">
      <c r="A136" s="1525" t="s">
        <v>340</v>
      </c>
      <c r="B136" s="1525" t="s">
        <v>160</v>
      </c>
      <c r="C136" s="1525" t="s">
        <v>47</v>
      </c>
      <c r="D136" s="1571">
        <f t="shared" si="47"/>
        <v>0</v>
      </c>
      <c r="E136" s="1572">
        <f t="shared" si="48"/>
        <v>0</v>
      </c>
      <c r="F136" s="1573"/>
      <c r="G136" s="1574"/>
      <c r="H136" s="1561">
        <f t="shared" si="40"/>
        <v>0</v>
      </c>
      <c r="I136" s="1557"/>
      <c r="J136" s="1556"/>
      <c r="K136" s="1575">
        <f t="shared" si="41"/>
        <v>0</v>
      </c>
      <c r="L136" s="1557"/>
      <c r="M136" s="1556"/>
      <c r="N136" s="1481">
        <f t="shared" si="42"/>
        <v>0</v>
      </c>
      <c r="O136" s="787"/>
      <c r="P136" s="698">
        <f t="shared" si="43"/>
        <v>0</v>
      </c>
      <c r="Q136" s="853"/>
      <c r="R136" s="698">
        <f t="shared" si="44"/>
        <v>0</v>
      </c>
      <c r="S136" s="714"/>
      <c r="T136" s="787"/>
      <c r="U136" s="698">
        <f t="shared" si="45"/>
        <v>0</v>
      </c>
      <c r="V136" s="698"/>
      <c r="W136" s="698">
        <f t="shared" si="46"/>
        <v>0</v>
      </c>
      <c r="X136" s="698"/>
    </row>
    <row r="137" spans="1:24" ht="12.75" customHeight="1" thickBot="1">
      <c r="A137" s="1549"/>
      <c r="B137" s="1549"/>
      <c r="C137" s="1549" t="s">
        <v>21</v>
      </c>
      <c r="D137" s="1550">
        <f t="shared" si="47"/>
        <v>0</v>
      </c>
      <c r="E137" s="1551">
        <f t="shared" si="48"/>
        <v>0</v>
      </c>
      <c r="F137" s="1547"/>
      <c r="G137" s="1570"/>
      <c r="H137" s="1553">
        <f t="shared" si="40"/>
        <v>0</v>
      </c>
      <c r="I137" s="1580"/>
      <c r="J137" s="1521"/>
      <c r="K137" s="1564">
        <f t="shared" si="41"/>
        <v>0</v>
      </c>
      <c r="L137" s="1560"/>
      <c r="M137" s="1521"/>
      <c r="N137" s="1481">
        <f t="shared" si="42"/>
        <v>0</v>
      </c>
      <c r="O137" s="730"/>
      <c r="P137" s="698">
        <f t="shared" si="43"/>
        <v>0</v>
      </c>
      <c r="Q137" s="855"/>
      <c r="R137" s="698">
        <f t="shared" si="44"/>
        <v>0</v>
      </c>
      <c r="S137" s="729"/>
      <c r="T137" s="730"/>
      <c r="U137" s="698">
        <f t="shared" si="45"/>
        <v>0</v>
      </c>
      <c r="V137" s="726"/>
      <c r="W137" s="698">
        <f t="shared" si="46"/>
        <v>0</v>
      </c>
      <c r="X137" s="726"/>
    </row>
    <row r="138" spans="1:24" ht="12.75" customHeight="1">
      <c r="A138" s="1576" t="s">
        <v>331</v>
      </c>
      <c r="B138" s="1576" t="s">
        <v>162</v>
      </c>
      <c r="C138" s="1576" t="s">
        <v>21</v>
      </c>
      <c r="D138" s="1491">
        <f t="shared" si="47"/>
        <v>0</v>
      </c>
      <c r="E138" s="1577">
        <f t="shared" si="48"/>
        <v>0</v>
      </c>
      <c r="F138" s="1578"/>
      <c r="G138" s="1579"/>
      <c r="H138" s="1490">
        <f t="shared" si="40"/>
        <v>0</v>
      </c>
      <c r="I138" s="1566"/>
      <c r="J138" s="1566"/>
      <c r="K138" s="1333">
        <f t="shared" si="41"/>
        <v>0</v>
      </c>
      <c r="L138" s="1567"/>
      <c r="M138" s="1566"/>
      <c r="N138" s="1481">
        <f t="shared" si="42"/>
        <v>0</v>
      </c>
      <c r="O138" s="808"/>
      <c r="P138" s="698">
        <f t="shared" si="43"/>
        <v>0</v>
      </c>
      <c r="Q138" s="801"/>
      <c r="R138" s="698">
        <f t="shared" si="44"/>
        <v>0</v>
      </c>
      <c r="S138" s="752"/>
      <c r="T138" s="808"/>
      <c r="U138" s="698">
        <f t="shared" si="45"/>
        <v>0</v>
      </c>
      <c r="V138" s="792"/>
      <c r="W138" s="698">
        <f t="shared" si="46"/>
        <v>0</v>
      </c>
      <c r="X138" s="792"/>
    </row>
    <row r="139" spans="1:24" ht="11.25" customHeight="1" thickBot="1">
      <c r="A139" s="1534" t="s">
        <v>163</v>
      </c>
      <c r="B139" s="1534" t="s">
        <v>164</v>
      </c>
      <c r="C139" s="1534" t="s">
        <v>21</v>
      </c>
      <c r="D139" s="1131">
        <f t="shared" si="47"/>
        <v>0</v>
      </c>
      <c r="E139" s="781">
        <f t="shared" si="48"/>
        <v>0</v>
      </c>
      <c r="F139" s="857"/>
      <c r="G139" s="1518"/>
      <c r="H139" s="1367">
        <f t="shared" si="40"/>
        <v>0</v>
      </c>
      <c r="I139" s="1520"/>
      <c r="J139" s="1520"/>
      <c r="K139" s="1482">
        <f t="shared" si="41"/>
        <v>0</v>
      </c>
      <c r="L139" s="1558"/>
      <c r="M139" s="1520"/>
      <c r="N139" s="1481">
        <f t="shared" si="42"/>
        <v>0</v>
      </c>
      <c r="O139" s="790"/>
      <c r="P139" s="698">
        <f t="shared" si="43"/>
        <v>0</v>
      </c>
      <c r="Q139" s="804"/>
      <c r="R139" s="698">
        <f t="shared" si="44"/>
        <v>0</v>
      </c>
      <c r="S139" s="803"/>
      <c r="T139" s="790"/>
      <c r="U139" s="698">
        <f t="shared" si="45"/>
        <v>0</v>
      </c>
      <c r="V139" s="797"/>
      <c r="W139" s="698">
        <f t="shared" si="46"/>
        <v>0</v>
      </c>
      <c r="X139" s="797"/>
    </row>
    <row r="140" spans="1:24" ht="12" customHeight="1">
      <c r="A140" s="1534" t="s">
        <v>332</v>
      </c>
      <c r="B140" s="1545" t="s">
        <v>166</v>
      </c>
      <c r="C140" s="1534" t="s">
        <v>47</v>
      </c>
      <c r="D140" s="1519">
        <f>H140+K140</f>
        <v>0</v>
      </c>
      <c r="E140" s="781">
        <f t="shared" ref="E140:G141" si="49">E142+E144+E146+E148+E150+E152+E154+E156</f>
        <v>0</v>
      </c>
      <c r="F140" s="781">
        <f t="shared" si="49"/>
        <v>0</v>
      </c>
      <c r="G140" s="1132">
        <f t="shared" si="49"/>
        <v>0</v>
      </c>
      <c r="H140" s="1520">
        <v>0</v>
      </c>
      <c r="I140" s="1520">
        <v>0</v>
      </c>
      <c r="J140" s="1367">
        <f>J142+J144+J146+J148+J150+J152+J154+J156</f>
        <v>0</v>
      </c>
      <c r="K140" s="1554">
        <f>L140</f>
        <v>0</v>
      </c>
      <c r="L140" s="1559">
        <v>0</v>
      </c>
      <c r="M140" s="1367"/>
      <c r="N140" s="782">
        <f t="shared" ref="N140:X141" si="50">N142+N144+N146+N148+N150+N152+N154+N156</f>
        <v>0</v>
      </c>
      <c r="O140" s="694">
        <f t="shared" si="50"/>
        <v>0</v>
      </c>
      <c r="P140" s="694">
        <f t="shared" si="50"/>
        <v>0</v>
      </c>
      <c r="Q140" s="694">
        <f t="shared" si="50"/>
        <v>0</v>
      </c>
      <c r="R140" s="694">
        <f t="shared" si="50"/>
        <v>0</v>
      </c>
      <c r="S140" s="694">
        <f t="shared" si="50"/>
        <v>0</v>
      </c>
      <c r="T140" s="694">
        <f t="shared" si="50"/>
        <v>0</v>
      </c>
      <c r="U140" s="694">
        <f t="shared" si="50"/>
        <v>0</v>
      </c>
      <c r="V140" s="694">
        <f t="shared" si="50"/>
        <v>0</v>
      </c>
      <c r="W140" s="694">
        <f t="shared" si="50"/>
        <v>0</v>
      </c>
      <c r="X140" s="694">
        <f t="shared" si="50"/>
        <v>0</v>
      </c>
    </row>
    <row r="141" spans="1:24" ht="12.75" customHeight="1" thickBot="1">
      <c r="A141" s="1581"/>
      <c r="B141" s="1582" t="s">
        <v>84</v>
      </c>
      <c r="C141" s="1581" t="s">
        <v>21</v>
      </c>
      <c r="D141" s="1583">
        <f>H141+K141</f>
        <v>0</v>
      </c>
      <c r="E141" s="1584">
        <f t="shared" si="49"/>
        <v>0</v>
      </c>
      <c r="F141" s="1584">
        <f t="shared" si="49"/>
        <v>0</v>
      </c>
      <c r="G141" s="1585">
        <f t="shared" si="49"/>
        <v>0</v>
      </c>
      <c r="H141" s="1586">
        <v>0</v>
      </c>
      <c r="I141" s="1586">
        <v>0</v>
      </c>
      <c r="J141" s="1473">
        <f>J143+J145+J147+J149+J151+J153+J155+J157</f>
        <v>0</v>
      </c>
      <c r="K141" s="1587">
        <f>L141</f>
        <v>0</v>
      </c>
      <c r="L141" s="1588">
        <v>0</v>
      </c>
      <c r="M141" s="1473"/>
      <c r="N141" s="782">
        <f t="shared" si="50"/>
        <v>0</v>
      </c>
      <c r="O141" s="694">
        <f t="shared" si="50"/>
        <v>0</v>
      </c>
      <c r="P141" s="694">
        <f t="shared" si="50"/>
        <v>0</v>
      </c>
      <c r="Q141" s="694">
        <f t="shared" si="50"/>
        <v>0</v>
      </c>
      <c r="R141" s="694">
        <f t="shared" si="50"/>
        <v>0</v>
      </c>
      <c r="S141" s="694">
        <f t="shared" si="50"/>
        <v>0</v>
      </c>
      <c r="T141" s="694">
        <f t="shared" si="50"/>
        <v>0</v>
      </c>
      <c r="U141" s="694">
        <f t="shared" si="50"/>
        <v>0</v>
      </c>
      <c r="V141" s="694">
        <f t="shared" si="50"/>
        <v>0</v>
      </c>
      <c r="W141" s="694">
        <f t="shared" si="50"/>
        <v>0</v>
      </c>
      <c r="X141" s="694">
        <f t="shared" si="50"/>
        <v>0</v>
      </c>
    </row>
    <row r="142" spans="1:24" ht="12" customHeight="1">
      <c r="A142" s="1589" t="s">
        <v>167</v>
      </c>
      <c r="B142" s="1589" t="s">
        <v>168</v>
      </c>
      <c r="C142" s="1589" t="s">
        <v>47</v>
      </c>
      <c r="D142" s="1495">
        <f t="shared" ref="D142" si="51">E142+H142+K142+N142+P142+R142+U142+W142</f>
        <v>0</v>
      </c>
      <c r="E142" s="1590">
        <f t="shared" ref="E142:E157" si="52">F142+G142</f>
        <v>0</v>
      </c>
      <c r="F142" s="1591"/>
      <c r="G142" s="1592"/>
      <c r="H142" s="1556">
        <v>0</v>
      </c>
      <c r="I142" s="1556"/>
      <c r="J142" s="1556"/>
      <c r="K142" s="1575">
        <f t="shared" ref="K142:K157" si="53">L142+M142</f>
        <v>0</v>
      </c>
      <c r="L142" s="1557"/>
      <c r="M142" s="1556"/>
      <c r="N142" s="1481">
        <f t="shared" ref="N142:N157" si="54">O142</f>
        <v>0</v>
      </c>
      <c r="O142" s="863"/>
      <c r="P142" s="698">
        <f t="shared" ref="P142:P157" si="55">Q142</f>
        <v>0</v>
      </c>
      <c r="Q142" s="701"/>
      <c r="R142" s="698">
        <f t="shared" ref="R142:R157" si="56">S142+T142</f>
        <v>0</v>
      </c>
      <c r="S142" s="714"/>
      <c r="T142" s="698"/>
      <c r="U142" s="698">
        <f t="shared" ref="U142:U157" si="57">V142</f>
        <v>0</v>
      </c>
      <c r="V142" s="698"/>
      <c r="W142" s="698">
        <f t="shared" ref="W142:W157" si="58">X142</f>
        <v>0</v>
      </c>
      <c r="X142" s="698"/>
    </row>
    <row r="143" spans="1:24" ht="12.75" customHeight="1" thickBot="1">
      <c r="A143" s="1535"/>
      <c r="B143" s="1535"/>
      <c r="C143" s="1535" t="s">
        <v>21</v>
      </c>
      <c r="D143" s="1593">
        <f>E143+H145+K143+N143+P143+R143+U143+W143</f>
        <v>0</v>
      </c>
      <c r="E143" s="1174">
        <f t="shared" si="52"/>
        <v>0</v>
      </c>
      <c r="F143" s="1594"/>
      <c r="G143" s="1595"/>
      <c r="H143" s="1521">
        <v>0</v>
      </c>
      <c r="I143" s="1521"/>
      <c r="J143" s="1521"/>
      <c r="K143" s="1564">
        <f t="shared" si="53"/>
        <v>0</v>
      </c>
      <c r="L143" s="1560"/>
      <c r="M143" s="1521"/>
      <c r="N143" s="1481">
        <f t="shared" si="54"/>
        <v>0</v>
      </c>
      <c r="O143" s="863"/>
      <c r="P143" s="698">
        <f t="shared" si="55"/>
        <v>0</v>
      </c>
      <c r="Q143" s="701"/>
      <c r="R143" s="698">
        <f t="shared" si="56"/>
        <v>0</v>
      </c>
      <c r="S143" s="714"/>
      <c r="T143" s="698"/>
      <c r="U143" s="698">
        <f t="shared" si="57"/>
        <v>0</v>
      </c>
      <c r="V143" s="698"/>
      <c r="W143" s="698">
        <f t="shared" si="58"/>
        <v>0</v>
      </c>
      <c r="X143" s="698"/>
    </row>
    <row r="144" spans="1:24" ht="13.5" customHeight="1">
      <c r="A144" s="1576" t="s">
        <v>169</v>
      </c>
      <c r="B144" s="1576" t="s">
        <v>170</v>
      </c>
      <c r="C144" s="1576" t="s">
        <v>47</v>
      </c>
      <c r="D144" s="1491">
        <f>E144+I144+K144+N144+P144+R144+U144+W144</f>
        <v>0</v>
      </c>
      <c r="E144" s="1577">
        <f t="shared" si="52"/>
        <v>0</v>
      </c>
      <c r="F144" s="1578"/>
      <c r="G144" s="1579"/>
      <c r="H144" s="1566">
        <v>0</v>
      </c>
      <c r="I144" s="1566">
        <v>0</v>
      </c>
      <c r="J144" s="1566"/>
      <c r="K144" s="1333">
        <f t="shared" si="53"/>
        <v>0</v>
      </c>
      <c r="L144" s="1567"/>
      <c r="M144" s="1566"/>
      <c r="N144" s="1481">
        <f t="shared" si="54"/>
        <v>0</v>
      </c>
      <c r="O144" s="863"/>
      <c r="P144" s="698">
        <f t="shared" si="55"/>
        <v>0</v>
      </c>
      <c r="Q144" s="701"/>
      <c r="R144" s="698">
        <f t="shared" si="56"/>
        <v>0</v>
      </c>
      <c r="S144" s="714"/>
      <c r="T144" s="698"/>
      <c r="U144" s="698">
        <f t="shared" si="57"/>
        <v>0</v>
      </c>
      <c r="V144" s="698"/>
      <c r="W144" s="698">
        <f t="shared" si="58"/>
        <v>0</v>
      </c>
      <c r="X144" s="698"/>
    </row>
    <row r="145" spans="1:25" ht="13.5" customHeight="1" thickBot="1">
      <c r="A145" s="1581"/>
      <c r="B145" s="1581"/>
      <c r="C145" s="1581" t="s">
        <v>21</v>
      </c>
      <c r="D145" s="1474">
        <f>E145+I145+K145+N145+P145+R145+U145+W145</f>
        <v>0</v>
      </c>
      <c r="E145" s="1584">
        <f t="shared" si="52"/>
        <v>0</v>
      </c>
      <c r="F145" s="1596"/>
      <c r="G145" s="1597"/>
      <c r="H145" s="1586">
        <v>0</v>
      </c>
      <c r="I145" s="1586">
        <v>0</v>
      </c>
      <c r="J145" s="1586"/>
      <c r="K145" s="1483">
        <f t="shared" si="53"/>
        <v>0</v>
      </c>
      <c r="L145" s="1598"/>
      <c r="M145" s="1586"/>
      <c r="N145" s="1481">
        <f t="shared" si="54"/>
        <v>0</v>
      </c>
      <c r="O145" s="863"/>
      <c r="P145" s="698">
        <f t="shared" si="55"/>
        <v>0</v>
      </c>
      <c r="Q145" s="701"/>
      <c r="R145" s="698">
        <f t="shared" si="56"/>
        <v>0</v>
      </c>
      <c r="S145" s="714"/>
      <c r="T145" s="698"/>
      <c r="U145" s="698">
        <f t="shared" si="57"/>
        <v>0</v>
      </c>
      <c r="V145" s="698"/>
      <c r="W145" s="698">
        <f t="shared" si="58"/>
        <v>0</v>
      </c>
      <c r="X145" s="698"/>
    </row>
    <row r="146" spans="1:25" ht="12" customHeight="1">
      <c r="A146" s="1589" t="s">
        <v>171</v>
      </c>
      <c r="B146" s="1589" t="s">
        <v>172</v>
      </c>
      <c r="C146" s="1589" t="s">
        <v>47</v>
      </c>
      <c r="D146" s="1495">
        <f>E146+I146+K146+N146+P146+R146+U146+W146</f>
        <v>0</v>
      </c>
      <c r="E146" s="1590">
        <f t="shared" si="52"/>
        <v>0</v>
      </c>
      <c r="F146" s="1591"/>
      <c r="G146" s="1592"/>
      <c r="H146" s="1556">
        <v>0</v>
      </c>
      <c r="I146" s="1556">
        <v>0</v>
      </c>
      <c r="J146" s="1556"/>
      <c r="K146" s="1575">
        <f t="shared" si="53"/>
        <v>0</v>
      </c>
      <c r="L146" s="1557"/>
      <c r="M146" s="1556"/>
      <c r="N146" s="1481">
        <f t="shared" si="54"/>
        <v>0</v>
      </c>
      <c r="O146" s="863"/>
      <c r="P146" s="698">
        <f t="shared" si="55"/>
        <v>0</v>
      </c>
      <c r="Q146" s="701"/>
      <c r="R146" s="698">
        <f t="shared" si="56"/>
        <v>0</v>
      </c>
      <c r="S146" s="714"/>
      <c r="T146" s="698"/>
      <c r="U146" s="698">
        <f t="shared" si="57"/>
        <v>0</v>
      </c>
      <c r="V146" s="698"/>
      <c r="W146" s="698">
        <f t="shared" si="58"/>
        <v>0</v>
      </c>
      <c r="X146" s="698"/>
    </row>
    <row r="147" spans="1:25" ht="12" customHeight="1" thickBot="1">
      <c r="A147" s="1535"/>
      <c r="B147" s="1535"/>
      <c r="C147" s="1535" t="s">
        <v>21</v>
      </c>
      <c r="D147" s="1593">
        <f>E147+I147+K147+N147+P147+R147+U147+W147</f>
        <v>0</v>
      </c>
      <c r="E147" s="1174">
        <f t="shared" si="52"/>
        <v>0</v>
      </c>
      <c r="F147" s="1594"/>
      <c r="G147" s="1595"/>
      <c r="H147" s="1521">
        <v>0</v>
      </c>
      <c r="I147" s="1521">
        <v>0</v>
      </c>
      <c r="J147" s="1521"/>
      <c r="K147" s="1564"/>
      <c r="L147" s="1560"/>
      <c r="M147" s="1521"/>
      <c r="N147" s="1481">
        <f t="shared" si="54"/>
        <v>0</v>
      </c>
      <c r="O147" s="863"/>
      <c r="P147" s="698">
        <f t="shared" si="55"/>
        <v>0</v>
      </c>
      <c r="Q147" s="701"/>
      <c r="R147" s="698">
        <f t="shared" si="56"/>
        <v>0</v>
      </c>
      <c r="S147" s="714"/>
      <c r="T147" s="698"/>
      <c r="U147" s="698">
        <f t="shared" si="57"/>
        <v>0</v>
      </c>
      <c r="V147" s="698"/>
      <c r="W147" s="698">
        <f t="shared" si="58"/>
        <v>0</v>
      </c>
      <c r="X147" s="698"/>
    </row>
    <row r="148" spans="1:25" ht="12" customHeight="1">
      <c r="A148" s="1576" t="s">
        <v>173</v>
      </c>
      <c r="B148" s="1576" t="s">
        <v>174</v>
      </c>
      <c r="C148" s="1576" t="s">
        <v>47</v>
      </c>
      <c r="D148" s="1491">
        <v>0</v>
      </c>
      <c r="E148" s="1577">
        <f t="shared" si="52"/>
        <v>0</v>
      </c>
      <c r="F148" s="1578"/>
      <c r="G148" s="1579"/>
      <c r="H148" s="1566">
        <v>0</v>
      </c>
      <c r="I148" s="1566"/>
      <c r="J148" s="1566"/>
      <c r="K148" s="1333">
        <f t="shared" si="53"/>
        <v>0</v>
      </c>
      <c r="L148" s="1567"/>
      <c r="M148" s="1566"/>
      <c r="N148" s="1481">
        <f t="shared" si="54"/>
        <v>0</v>
      </c>
      <c r="O148" s="863"/>
      <c r="P148" s="698">
        <f t="shared" si="55"/>
        <v>0</v>
      </c>
      <c r="Q148" s="701"/>
      <c r="R148" s="698">
        <f t="shared" si="56"/>
        <v>0</v>
      </c>
      <c r="S148" s="714"/>
      <c r="T148" s="698"/>
      <c r="U148" s="698">
        <f t="shared" si="57"/>
        <v>0</v>
      </c>
      <c r="V148" s="698"/>
      <c r="W148" s="698">
        <f t="shared" si="58"/>
        <v>0</v>
      </c>
      <c r="X148" s="698"/>
    </row>
    <row r="149" spans="1:25" ht="11.25" customHeight="1" thickBot="1">
      <c r="A149" s="1581"/>
      <c r="B149" s="1581"/>
      <c r="C149" s="1581" t="s">
        <v>21</v>
      </c>
      <c r="D149" s="1474">
        <v>0</v>
      </c>
      <c r="E149" s="1584">
        <f t="shared" si="52"/>
        <v>0</v>
      </c>
      <c r="F149" s="1596"/>
      <c r="G149" s="1597"/>
      <c r="H149" s="1586">
        <v>0</v>
      </c>
      <c r="I149" s="1586"/>
      <c r="J149" s="1586"/>
      <c r="K149" s="1483">
        <f t="shared" si="53"/>
        <v>0</v>
      </c>
      <c r="L149" s="1598"/>
      <c r="M149" s="1586"/>
      <c r="N149" s="1481">
        <f t="shared" si="54"/>
        <v>0</v>
      </c>
      <c r="O149" s="863"/>
      <c r="P149" s="698">
        <f t="shared" si="55"/>
        <v>0</v>
      </c>
      <c r="Q149" s="864"/>
      <c r="R149" s="698">
        <f t="shared" si="56"/>
        <v>0</v>
      </c>
      <c r="S149" s="729"/>
      <c r="T149" s="726"/>
      <c r="U149" s="698">
        <f t="shared" si="57"/>
        <v>0</v>
      </c>
      <c r="V149" s="726"/>
      <c r="W149" s="698">
        <f t="shared" si="58"/>
        <v>0</v>
      </c>
      <c r="X149" s="726"/>
    </row>
    <row r="150" spans="1:25" ht="14.25" customHeight="1">
      <c r="A150" s="1589" t="s">
        <v>175</v>
      </c>
      <c r="B150" s="1589" t="s">
        <v>176</v>
      </c>
      <c r="C150" s="1589" t="s">
        <v>47</v>
      </c>
      <c r="D150" s="1495">
        <f t="shared" ref="D150:D157" si="59">E150+H150+K150+N150+P150+R150+U150+W150</f>
        <v>0</v>
      </c>
      <c r="E150" s="1590">
        <f t="shared" si="52"/>
        <v>0</v>
      </c>
      <c r="F150" s="1591"/>
      <c r="G150" s="1592"/>
      <c r="H150" s="1556">
        <v>0</v>
      </c>
      <c r="I150" s="1556">
        <v>0</v>
      </c>
      <c r="J150" s="1556"/>
      <c r="K150" s="1575">
        <v>0</v>
      </c>
      <c r="L150" s="1599">
        <v>0</v>
      </c>
      <c r="M150" s="1556"/>
      <c r="N150" s="1481">
        <f t="shared" si="54"/>
        <v>0</v>
      </c>
      <c r="O150" s="863"/>
      <c r="P150" s="698">
        <f t="shared" si="55"/>
        <v>0</v>
      </c>
      <c r="Q150" s="701"/>
      <c r="R150" s="698">
        <f t="shared" si="56"/>
        <v>0</v>
      </c>
      <c r="S150" s="714"/>
      <c r="T150" s="698"/>
      <c r="U150" s="698">
        <f t="shared" si="57"/>
        <v>0</v>
      </c>
      <c r="V150" s="698"/>
      <c r="W150" s="698">
        <f t="shared" si="58"/>
        <v>0</v>
      </c>
      <c r="X150" s="698"/>
    </row>
    <row r="151" spans="1:25" ht="11.25" customHeight="1" thickBot="1">
      <c r="A151" s="1535"/>
      <c r="B151" s="1535"/>
      <c r="C151" s="1535" t="s">
        <v>21</v>
      </c>
      <c r="D151" s="1593">
        <f t="shared" si="59"/>
        <v>0</v>
      </c>
      <c r="E151" s="1174">
        <f t="shared" si="52"/>
        <v>0</v>
      </c>
      <c r="F151" s="1594"/>
      <c r="G151" s="1595"/>
      <c r="H151" s="1521">
        <v>0</v>
      </c>
      <c r="I151" s="1521">
        <v>0</v>
      </c>
      <c r="J151" s="1521"/>
      <c r="K151" s="1564">
        <v>0</v>
      </c>
      <c r="L151" s="1568">
        <v>0</v>
      </c>
      <c r="M151" s="1521"/>
      <c r="N151" s="1481">
        <f t="shared" si="54"/>
        <v>0</v>
      </c>
      <c r="O151" s="863"/>
      <c r="P151" s="698">
        <f t="shared" si="55"/>
        <v>0</v>
      </c>
      <c r="Q151" s="701"/>
      <c r="R151" s="698">
        <f t="shared" si="56"/>
        <v>0</v>
      </c>
      <c r="S151" s="714"/>
      <c r="T151" s="698"/>
      <c r="U151" s="698">
        <f t="shared" si="57"/>
        <v>0</v>
      </c>
      <c r="V151" s="698"/>
      <c r="W151" s="698">
        <f t="shared" si="58"/>
        <v>0</v>
      </c>
      <c r="X151" s="698"/>
    </row>
    <row r="152" spans="1:25" ht="13.5" customHeight="1">
      <c r="A152" s="1576" t="s">
        <v>177</v>
      </c>
      <c r="B152" s="1576" t="s">
        <v>178</v>
      </c>
      <c r="C152" s="1576" t="s">
        <v>47</v>
      </c>
      <c r="D152" s="1491">
        <f t="shared" si="59"/>
        <v>0</v>
      </c>
      <c r="E152" s="1577">
        <f t="shared" si="52"/>
        <v>0</v>
      </c>
      <c r="F152" s="1578"/>
      <c r="G152" s="1579"/>
      <c r="H152" s="1566">
        <v>0</v>
      </c>
      <c r="I152" s="1566"/>
      <c r="J152" s="1566"/>
      <c r="K152" s="1333">
        <f t="shared" si="53"/>
        <v>0</v>
      </c>
      <c r="L152" s="1567"/>
      <c r="M152" s="1566"/>
      <c r="N152" s="1481">
        <f t="shared" si="54"/>
        <v>0</v>
      </c>
      <c r="O152" s="863"/>
      <c r="P152" s="698">
        <f t="shared" si="55"/>
        <v>0</v>
      </c>
      <c r="Q152" s="701"/>
      <c r="R152" s="698">
        <f t="shared" si="56"/>
        <v>0</v>
      </c>
      <c r="S152" s="714"/>
      <c r="T152" s="698"/>
      <c r="U152" s="698">
        <f t="shared" si="57"/>
        <v>0</v>
      </c>
      <c r="V152" s="698"/>
      <c r="W152" s="698">
        <f t="shared" si="58"/>
        <v>0</v>
      </c>
      <c r="X152" s="698"/>
    </row>
    <row r="153" spans="1:25" ht="11.25" customHeight="1" thickBot="1">
      <c r="A153" s="1581"/>
      <c r="B153" s="1581"/>
      <c r="C153" s="1581" t="s">
        <v>21</v>
      </c>
      <c r="D153" s="1474">
        <f t="shared" si="59"/>
        <v>0</v>
      </c>
      <c r="E153" s="1584">
        <f t="shared" si="52"/>
        <v>0</v>
      </c>
      <c r="F153" s="1596"/>
      <c r="G153" s="1597"/>
      <c r="H153" s="1586">
        <v>0</v>
      </c>
      <c r="I153" s="1586"/>
      <c r="J153" s="1586"/>
      <c r="K153" s="1483">
        <f t="shared" si="53"/>
        <v>0</v>
      </c>
      <c r="L153" s="1598"/>
      <c r="M153" s="1586"/>
      <c r="N153" s="1481">
        <f t="shared" si="54"/>
        <v>0</v>
      </c>
      <c r="O153" s="863"/>
      <c r="P153" s="698">
        <f t="shared" si="55"/>
        <v>0</v>
      </c>
      <c r="Q153" s="701"/>
      <c r="R153" s="698">
        <f t="shared" si="56"/>
        <v>0</v>
      </c>
      <c r="S153" s="714"/>
      <c r="T153" s="698"/>
      <c r="U153" s="698">
        <f t="shared" si="57"/>
        <v>0</v>
      </c>
      <c r="V153" s="698"/>
      <c r="W153" s="698">
        <f t="shared" si="58"/>
        <v>0</v>
      </c>
      <c r="X153" s="698"/>
    </row>
    <row r="154" spans="1:25" ht="11.25" customHeight="1">
      <c r="A154" s="1589" t="s">
        <v>179</v>
      </c>
      <c r="B154" s="1589" t="s">
        <v>180</v>
      </c>
      <c r="C154" s="1589" t="s">
        <v>47</v>
      </c>
      <c r="D154" s="1495">
        <f>E154+I154+K154+N154+P154+R154+U154+W154</f>
        <v>0</v>
      </c>
      <c r="E154" s="1590">
        <f t="shared" si="52"/>
        <v>0</v>
      </c>
      <c r="F154" s="1591"/>
      <c r="G154" s="1592"/>
      <c r="H154" s="1556">
        <v>0</v>
      </c>
      <c r="I154" s="1556"/>
      <c r="J154" s="1556"/>
      <c r="K154" s="1575">
        <f t="shared" si="53"/>
        <v>0</v>
      </c>
      <c r="L154" s="1557"/>
      <c r="M154" s="1556"/>
      <c r="N154" s="1481">
        <f t="shared" si="54"/>
        <v>0</v>
      </c>
      <c r="O154" s="863"/>
      <c r="P154" s="698">
        <f t="shared" si="55"/>
        <v>0</v>
      </c>
      <c r="Q154" s="701"/>
      <c r="R154" s="698">
        <f t="shared" si="56"/>
        <v>0</v>
      </c>
      <c r="S154" s="714"/>
      <c r="T154" s="698"/>
      <c r="U154" s="698">
        <f t="shared" si="57"/>
        <v>0</v>
      </c>
      <c r="V154" s="698"/>
      <c r="W154" s="698">
        <f t="shared" si="58"/>
        <v>0</v>
      </c>
      <c r="X154" s="698"/>
    </row>
    <row r="155" spans="1:25" ht="12" customHeight="1" thickBot="1">
      <c r="A155" s="1535"/>
      <c r="B155" s="1535"/>
      <c r="C155" s="1535" t="s">
        <v>21</v>
      </c>
      <c r="D155" s="1593">
        <f>E155+I155+K155+N155+P155+R155+U155+W155</f>
        <v>0</v>
      </c>
      <c r="E155" s="1174">
        <f t="shared" si="52"/>
        <v>0</v>
      </c>
      <c r="F155" s="1594"/>
      <c r="G155" s="1595"/>
      <c r="H155" s="1521">
        <v>0</v>
      </c>
      <c r="I155" s="1521"/>
      <c r="J155" s="1521"/>
      <c r="K155" s="1564">
        <f t="shared" si="53"/>
        <v>0</v>
      </c>
      <c r="L155" s="1560"/>
      <c r="M155" s="1521"/>
      <c r="N155" s="1481">
        <f t="shared" si="54"/>
        <v>0</v>
      </c>
      <c r="O155" s="863"/>
      <c r="P155" s="698">
        <f t="shared" si="55"/>
        <v>0</v>
      </c>
      <c r="Q155" s="701"/>
      <c r="R155" s="698">
        <f t="shared" si="56"/>
        <v>0</v>
      </c>
      <c r="S155" s="714"/>
      <c r="T155" s="698"/>
      <c r="U155" s="698">
        <f t="shared" si="57"/>
        <v>0</v>
      </c>
      <c r="V155" s="698"/>
      <c r="W155" s="698">
        <f t="shared" si="58"/>
        <v>0</v>
      </c>
      <c r="X155" s="698"/>
    </row>
    <row r="156" spans="1:25" ht="11.25" customHeight="1">
      <c r="A156" s="1576" t="s">
        <v>181</v>
      </c>
      <c r="B156" s="1576" t="s">
        <v>182</v>
      </c>
      <c r="C156" s="1576" t="s">
        <v>47</v>
      </c>
      <c r="D156" s="1491">
        <f t="shared" si="59"/>
        <v>0</v>
      </c>
      <c r="E156" s="1577">
        <f t="shared" si="52"/>
        <v>0</v>
      </c>
      <c r="F156" s="1578"/>
      <c r="G156" s="1579"/>
      <c r="H156" s="1566">
        <v>0</v>
      </c>
      <c r="I156" s="1566"/>
      <c r="J156" s="1566"/>
      <c r="K156" s="1333">
        <f t="shared" si="53"/>
        <v>0</v>
      </c>
      <c r="L156" s="1567"/>
      <c r="M156" s="1566"/>
      <c r="N156" s="1481">
        <f t="shared" si="54"/>
        <v>0</v>
      </c>
      <c r="O156" s="852"/>
      <c r="P156" s="698">
        <f t="shared" si="55"/>
        <v>0</v>
      </c>
      <c r="Q156" s="701"/>
      <c r="R156" s="698">
        <f t="shared" si="56"/>
        <v>0</v>
      </c>
      <c r="S156" s="714"/>
      <c r="T156" s="698"/>
      <c r="U156" s="698">
        <f t="shared" si="57"/>
        <v>0</v>
      </c>
      <c r="V156" s="698"/>
      <c r="W156" s="698">
        <f t="shared" si="58"/>
        <v>0</v>
      </c>
      <c r="X156" s="698"/>
      <c r="Y156" t="s">
        <v>341</v>
      </c>
    </row>
    <row r="157" spans="1:25" ht="11.25" customHeight="1" thickBot="1">
      <c r="A157" s="1535"/>
      <c r="B157" s="1535"/>
      <c r="C157" s="1535" t="s">
        <v>21</v>
      </c>
      <c r="D157" s="1548">
        <f t="shared" si="59"/>
        <v>0</v>
      </c>
      <c r="E157" s="781">
        <f t="shared" si="52"/>
        <v>0</v>
      </c>
      <c r="F157" s="857"/>
      <c r="G157" s="1518"/>
      <c r="H157" s="1521">
        <v>0</v>
      </c>
      <c r="I157" s="1521"/>
      <c r="J157" s="1521"/>
      <c r="K157" s="1555">
        <f t="shared" si="53"/>
        <v>0</v>
      </c>
      <c r="L157" s="1560"/>
      <c r="M157" s="1521"/>
      <c r="N157" s="1481">
        <f t="shared" si="54"/>
        <v>0</v>
      </c>
      <c r="O157" s="804"/>
      <c r="P157" s="698">
        <f t="shared" si="55"/>
        <v>0</v>
      </c>
      <c r="Q157" s="747"/>
      <c r="R157" s="698">
        <f t="shared" si="56"/>
        <v>0</v>
      </c>
      <c r="S157" s="742"/>
      <c r="T157" s="720"/>
      <c r="U157" s="698">
        <f t="shared" si="57"/>
        <v>0</v>
      </c>
      <c r="V157" s="720"/>
      <c r="W157" s="698">
        <f t="shared" si="58"/>
        <v>0</v>
      </c>
      <c r="X157" s="720"/>
    </row>
    <row r="158" spans="1:25">
      <c r="A158" s="829"/>
      <c r="B158" s="829"/>
      <c r="C158" s="829"/>
      <c r="D158" s="1349"/>
      <c r="E158" s="1349"/>
      <c r="F158" s="1357"/>
      <c r="G158" s="1357"/>
      <c r="H158" s="1357"/>
      <c r="I158" s="1357"/>
      <c r="J158" s="1357"/>
      <c r="K158" s="866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</row>
    <row r="159" spans="1:25" hidden="1">
      <c r="A159" s="829"/>
      <c r="B159" s="829"/>
      <c r="C159" s="829"/>
      <c r="D159" s="1349"/>
      <c r="E159" s="1349"/>
      <c r="F159" s="1357"/>
      <c r="G159" s="1357"/>
      <c r="H159" s="1357"/>
      <c r="I159" s="1357"/>
      <c r="J159" s="1357"/>
      <c r="K159" s="866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</row>
    <row r="160" spans="1:25" hidden="1">
      <c r="A160" s="829"/>
      <c r="B160" s="829"/>
      <c r="C160" s="829"/>
      <c r="D160" s="1349"/>
      <c r="E160" s="1349"/>
      <c r="F160" s="1357"/>
      <c r="G160" s="1357"/>
      <c r="H160" s="1357"/>
      <c r="I160" s="1357"/>
      <c r="J160" s="1357"/>
      <c r="K160" s="866"/>
      <c r="L160" s="866"/>
      <c r="M160" s="866"/>
      <c r="N160" s="866"/>
      <c r="O160" s="866"/>
      <c r="P160" s="866"/>
      <c r="Q160" s="866"/>
      <c r="R160" s="866"/>
      <c r="S160" s="866"/>
      <c r="T160" s="866"/>
      <c r="U160" s="866"/>
      <c r="V160" s="866"/>
      <c r="W160" s="866"/>
      <c r="X160" s="866"/>
    </row>
    <row r="161" spans="1:24" hidden="1">
      <c r="A161" s="829"/>
      <c r="B161" s="829"/>
      <c r="C161" s="829"/>
      <c r="D161" s="1349"/>
      <c r="E161" s="1349"/>
      <c r="F161" s="1357"/>
      <c r="G161" s="1357"/>
      <c r="H161" s="1357"/>
      <c r="I161" s="1357"/>
      <c r="J161" s="1357"/>
      <c r="K161" s="866"/>
      <c r="L161" s="866"/>
      <c r="M161" s="866"/>
      <c r="N161" s="866"/>
      <c r="O161" s="866"/>
      <c r="P161" s="866"/>
      <c r="Q161" s="866"/>
      <c r="R161" s="866"/>
      <c r="S161" s="866"/>
      <c r="T161" s="866"/>
      <c r="U161" s="866"/>
      <c r="V161" s="866"/>
      <c r="W161" s="866"/>
      <c r="X161" s="866"/>
    </row>
    <row r="162" spans="1:24">
      <c r="A162" s="865" t="s">
        <v>211</v>
      </c>
      <c r="B162" s="865"/>
      <c r="C162" s="865"/>
      <c r="D162" s="865"/>
      <c r="E162" s="865"/>
      <c r="F162" s="866"/>
      <c r="G162" s="866"/>
      <c r="H162" s="866"/>
      <c r="I162" s="866"/>
      <c r="J162" s="866"/>
      <c r="K162" s="1350"/>
      <c r="L162" s="1350"/>
      <c r="M162" s="1350"/>
      <c r="N162" s="1350"/>
      <c r="O162" s="1350"/>
      <c r="P162" s="1350"/>
      <c r="Q162" s="1350"/>
      <c r="R162" s="1350"/>
      <c r="S162" s="1350"/>
      <c r="T162" s="1350"/>
      <c r="U162" s="1350"/>
      <c r="V162" s="1350"/>
      <c r="W162" s="1350"/>
      <c r="X162" s="1350"/>
    </row>
    <row r="163" spans="1:24">
      <c r="A163" s="1720" t="s">
        <v>212</v>
      </c>
      <c r="B163" s="1720"/>
      <c r="C163" s="1720"/>
      <c r="D163" s="1720"/>
      <c r="E163" s="1720"/>
      <c r="F163" s="1720"/>
      <c r="G163" s="1720"/>
      <c r="H163" s="1720"/>
      <c r="I163" s="1720"/>
      <c r="J163" s="1720"/>
      <c r="K163" s="1350"/>
      <c r="L163" s="1350"/>
      <c r="M163" s="1350"/>
      <c r="N163" s="1350"/>
      <c r="O163" s="1350"/>
      <c r="P163" s="1350"/>
      <c r="Q163" s="1350"/>
      <c r="R163" s="1350"/>
      <c r="S163" s="1350"/>
      <c r="T163" s="1350"/>
      <c r="U163" s="1350"/>
      <c r="V163" s="1350"/>
      <c r="W163" s="1350"/>
      <c r="X163" s="1350"/>
    </row>
    <row r="164" spans="1:24">
      <c r="A164" s="867"/>
      <c r="B164" s="866"/>
      <c r="C164" s="866"/>
      <c r="D164" s="866"/>
      <c r="E164" s="866"/>
      <c r="F164" s="866"/>
      <c r="G164" s="866"/>
      <c r="H164" s="866"/>
      <c r="I164" s="866"/>
      <c r="J164" s="866"/>
      <c r="K164" s="1350"/>
      <c r="L164" s="1350"/>
      <c r="M164" s="1350"/>
      <c r="N164" s="1350"/>
      <c r="O164" s="1350"/>
      <c r="P164" s="1350"/>
      <c r="Q164" s="1350"/>
      <c r="R164" s="1350"/>
      <c r="S164" s="1350"/>
      <c r="T164" s="1350"/>
      <c r="U164" s="1350"/>
      <c r="V164" s="1350"/>
      <c r="W164" s="1350"/>
      <c r="X164" s="1350"/>
    </row>
    <row r="165" spans="1:24">
      <c r="A165" s="865" t="s">
        <v>213</v>
      </c>
      <c r="B165" s="865"/>
      <c r="C165" s="865"/>
      <c r="D165" s="865"/>
      <c r="E165" s="865"/>
      <c r="F165" s="866"/>
      <c r="G165" s="866"/>
      <c r="H165" s="866"/>
      <c r="I165" s="866"/>
      <c r="J165" s="866"/>
      <c r="K165" s="1350"/>
      <c r="L165" s="1350"/>
      <c r="M165" s="1350"/>
      <c r="N165" s="1350"/>
      <c r="O165" s="1350"/>
      <c r="P165" s="1350"/>
      <c r="Q165" s="1350"/>
      <c r="R165" s="1350"/>
      <c r="S165" s="1350"/>
      <c r="T165" s="1350"/>
      <c r="U165" s="1350"/>
      <c r="V165" s="1350"/>
      <c r="W165" s="1350"/>
      <c r="X165" s="1350"/>
    </row>
  </sheetData>
  <mergeCells count="27">
    <mergeCell ref="I5:M5"/>
    <mergeCell ref="A6:M6"/>
    <mergeCell ref="A163:J163"/>
    <mergeCell ref="E11:Q11"/>
    <mergeCell ref="A102:T102"/>
    <mergeCell ref="A15:A17"/>
    <mergeCell ref="A11:A13"/>
    <mergeCell ref="B11:B13"/>
    <mergeCell ref="C11:C13"/>
    <mergeCell ref="D11:D13"/>
    <mergeCell ref="E12:G12"/>
    <mergeCell ref="I1:K1"/>
    <mergeCell ref="I2:K2"/>
    <mergeCell ref="U11:V12"/>
    <mergeCell ref="W11:X12"/>
    <mergeCell ref="N12:O12"/>
    <mergeCell ref="P12:Q12"/>
    <mergeCell ref="K12:M12"/>
    <mergeCell ref="R11:T12"/>
    <mergeCell ref="H12:J12"/>
    <mergeCell ref="T1:X1"/>
    <mergeCell ref="T2:X2"/>
    <mergeCell ref="T3:X3"/>
    <mergeCell ref="T4:X4"/>
    <mergeCell ref="T5:X5"/>
    <mergeCell ref="I3:K3"/>
    <mergeCell ref="I4:K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X161"/>
  <sheetViews>
    <sheetView workbookViewId="0">
      <selection sqref="A1:X161"/>
    </sheetView>
  </sheetViews>
  <sheetFormatPr defaultRowHeight="15"/>
  <cols>
    <col min="2" max="2" width="29.85546875" customWidth="1"/>
    <col min="5" max="5" width="0.140625" customWidth="1"/>
    <col min="6" max="7" width="9.140625" hidden="1" customWidth="1"/>
  </cols>
  <sheetData>
    <row r="1" spans="1:24">
      <c r="A1" s="9"/>
      <c r="B1" s="9"/>
      <c r="C1" s="9"/>
      <c r="D1" s="10"/>
      <c r="E1" s="10"/>
      <c r="F1" s="9"/>
      <c r="G1" s="9"/>
      <c r="H1" s="9"/>
      <c r="I1" s="9"/>
      <c r="J1" s="1893" t="s">
        <v>184</v>
      </c>
      <c r="K1" s="1893"/>
      <c r="L1" s="1893"/>
      <c r="M1" s="1179"/>
      <c r="N1" s="1179"/>
      <c r="O1" s="9"/>
      <c r="P1" s="10"/>
      <c r="Q1" s="9"/>
      <c r="R1" s="10"/>
      <c r="S1" s="10"/>
      <c r="T1" s="9"/>
      <c r="U1" s="10"/>
      <c r="V1" s="10"/>
      <c r="W1" s="10"/>
      <c r="X1" s="10"/>
    </row>
    <row r="2" spans="1:24" ht="18.75">
      <c r="A2" s="9"/>
      <c r="B2" s="9"/>
      <c r="C2" s="9"/>
      <c r="D2" s="10"/>
      <c r="E2" s="10"/>
      <c r="F2" s="9"/>
      <c r="G2" s="9"/>
      <c r="H2" s="9"/>
      <c r="I2" s="9"/>
      <c r="J2" s="1893" t="s">
        <v>185</v>
      </c>
      <c r="K2" s="1893"/>
      <c r="L2" s="1893"/>
      <c r="M2" s="1179"/>
      <c r="N2" s="1179"/>
      <c r="O2" s="9"/>
      <c r="P2" s="10"/>
      <c r="Q2" s="9"/>
      <c r="R2" s="10"/>
      <c r="S2" s="10"/>
      <c r="T2" s="1755" t="s">
        <v>184</v>
      </c>
      <c r="U2" s="1755"/>
      <c r="V2" s="1755"/>
      <c r="W2" s="1755"/>
      <c r="X2" s="1755"/>
    </row>
    <row r="3" spans="1:24" ht="18.75">
      <c r="A3" s="9"/>
      <c r="B3" s="9"/>
      <c r="C3" s="9"/>
      <c r="D3" s="10"/>
      <c r="E3" s="10"/>
      <c r="F3" s="9"/>
      <c r="G3" s="9"/>
      <c r="H3" s="9"/>
      <c r="I3" s="9"/>
      <c r="J3" s="1893" t="s">
        <v>186</v>
      </c>
      <c r="K3" s="1893"/>
      <c r="L3" s="1893"/>
      <c r="M3" s="1179"/>
      <c r="N3" s="1179"/>
      <c r="O3" s="9"/>
      <c r="P3" s="10"/>
      <c r="Q3" s="9"/>
      <c r="R3" s="10"/>
      <c r="S3" s="10"/>
      <c r="T3" s="1755" t="s">
        <v>185</v>
      </c>
      <c r="U3" s="1755"/>
      <c r="V3" s="1755"/>
      <c r="W3" s="1755"/>
      <c r="X3" s="1755"/>
    </row>
    <row r="4" spans="1:24" ht="18.75">
      <c r="A4" s="9"/>
      <c r="B4" s="9"/>
      <c r="C4" s="9"/>
      <c r="D4" s="10"/>
      <c r="E4" s="10"/>
      <c r="F4" s="9"/>
      <c r="G4" s="9"/>
      <c r="H4" s="9"/>
      <c r="I4" s="9"/>
      <c r="J4" s="1893" t="s">
        <v>187</v>
      </c>
      <c r="K4" s="1893"/>
      <c r="L4" s="1893"/>
      <c r="M4" s="1179"/>
      <c r="N4" s="1179"/>
      <c r="O4" s="9"/>
      <c r="P4" s="10"/>
      <c r="Q4" s="9"/>
      <c r="R4" s="10"/>
      <c r="S4" s="10"/>
      <c r="T4" s="1755" t="s">
        <v>186</v>
      </c>
      <c r="U4" s="1755"/>
      <c r="V4" s="1755"/>
      <c r="W4" s="1755"/>
      <c r="X4" s="1755"/>
    </row>
    <row r="5" spans="1:24" ht="18.75">
      <c r="A5" s="9"/>
      <c r="B5" s="9"/>
      <c r="C5" s="9"/>
      <c r="D5" s="10"/>
      <c r="E5" s="10"/>
      <c r="F5" s="9"/>
      <c r="G5" s="9"/>
      <c r="H5" s="9"/>
      <c r="I5" s="9"/>
      <c r="J5" s="1893" t="s">
        <v>210</v>
      </c>
      <c r="K5" s="1893"/>
      <c r="L5" s="1893"/>
      <c r="M5" s="1893"/>
      <c r="N5" s="1893"/>
      <c r="O5" s="9"/>
      <c r="P5" s="10"/>
      <c r="Q5" s="9"/>
      <c r="R5" s="10"/>
      <c r="S5" s="10"/>
      <c r="T5" s="1755" t="s">
        <v>187</v>
      </c>
      <c r="U5" s="1755"/>
      <c r="V5" s="1755"/>
      <c r="W5" s="1755"/>
      <c r="X5" s="1755"/>
    </row>
    <row r="6" spans="1:24" ht="18.75">
      <c r="A6" s="9"/>
      <c r="B6" s="9"/>
      <c r="C6" s="9"/>
      <c r="D6" s="10"/>
      <c r="E6" s="10"/>
      <c r="F6" s="9"/>
      <c r="G6" s="9"/>
      <c r="H6" s="9"/>
      <c r="I6" s="9"/>
      <c r="J6" s="9"/>
      <c r="K6" s="10"/>
      <c r="L6" s="9"/>
      <c r="M6" s="9"/>
      <c r="N6" s="9"/>
      <c r="O6" s="9"/>
      <c r="P6" s="10"/>
      <c r="Q6" s="9"/>
      <c r="R6" s="10"/>
      <c r="S6" s="10"/>
      <c r="T6" s="1755" t="s">
        <v>210</v>
      </c>
      <c r="U6" s="1755"/>
      <c r="V6" s="1755"/>
      <c r="W6" s="1755"/>
      <c r="X6" s="1755"/>
    </row>
    <row r="7" spans="1:24">
      <c r="A7" s="1731" t="s">
        <v>310</v>
      </c>
      <c r="B7" s="1731"/>
      <c r="C7" s="1731"/>
      <c r="D7" s="1731"/>
      <c r="E7" s="1731"/>
      <c r="F7" s="1731"/>
      <c r="G7" s="1731"/>
      <c r="H7" s="1731"/>
      <c r="I7" s="1731"/>
      <c r="J7" s="1731"/>
      <c r="K7" s="1731"/>
      <c r="L7" s="1731"/>
      <c r="M7" s="1731"/>
      <c r="N7" s="634"/>
      <c r="O7" s="634"/>
      <c r="P7" s="634"/>
      <c r="Q7" s="634"/>
      <c r="R7" s="634"/>
      <c r="S7" s="634"/>
      <c r="T7" s="634"/>
      <c r="U7" s="631"/>
      <c r="V7" s="631"/>
      <c r="W7" s="631"/>
      <c r="X7" s="631"/>
    </row>
    <row r="8" spans="1:24">
      <c r="A8" s="635" t="s">
        <v>190</v>
      </c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6"/>
      <c r="P8" s="635"/>
      <c r="Q8" s="635"/>
      <c r="R8" s="635"/>
      <c r="S8" s="635"/>
      <c r="T8" s="635"/>
      <c r="U8" s="631"/>
      <c r="V8" s="631"/>
      <c r="W8" s="631"/>
      <c r="X8" s="631"/>
    </row>
    <row r="9" spans="1:24">
      <c r="A9" s="637"/>
      <c r="B9" s="631"/>
      <c r="C9" s="631"/>
      <c r="D9" s="635"/>
      <c r="E9" s="635"/>
      <c r="F9" s="638"/>
      <c r="G9" s="638"/>
      <c r="H9" s="638"/>
      <c r="I9" s="638"/>
      <c r="J9" s="638"/>
      <c r="K9" s="1894" t="s">
        <v>0</v>
      </c>
      <c r="L9" s="1894"/>
      <c r="M9" s="1894"/>
      <c r="N9" s="1894"/>
      <c r="O9" s="1894"/>
      <c r="P9" s="1894"/>
      <c r="Q9" s="1894"/>
      <c r="R9" s="1894"/>
      <c r="S9" s="1894"/>
      <c r="T9" s="1894"/>
      <c r="U9" s="1894"/>
      <c r="V9" s="1894"/>
      <c r="W9" s="1894"/>
      <c r="X9" s="1894"/>
    </row>
    <row r="10" spans="1:24">
      <c r="A10" s="1895" t="s">
        <v>1</v>
      </c>
      <c r="B10" s="1896" t="s">
        <v>2</v>
      </c>
      <c r="C10" s="1896" t="s">
        <v>3</v>
      </c>
      <c r="D10" s="1897" t="s">
        <v>192</v>
      </c>
      <c r="E10" s="1892" t="s">
        <v>5</v>
      </c>
      <c r="F10" s="1892"/>
      <c r="G10" s="1892"/>
      <c r="H10" s="1892"/>
      <c r="I10" s="1892"/>
      <c r="J10" s="1892"/>
      <c r="K10" s="1892"/>
      <c r="L10" s="1892"/>
      <c r="M10" s="1892"/>
      <c r="N10" s="1892"/>
      <c r="O10" s="1892"/>
      <c r="P10" s="1892"/>
      <c r="Q10" s="1892"/>
      <c r="R10" s="1892" t="s">
        <v>6</v>
      </c>
      <c r="S10" s="1892"/>
      <c r="T10" s="1892"/>
      <c r="U10" s="1892" t="s">
        <v>7</v>
      </c>
      <c r="V10" s="1892"/>
      <c r="W10" s="1892" t="s">
        <v>8</v>
      </c>
      <c r="X10" s="1892"/>
    </row>
    <row r="11" spans="1:24">
      <c r="A11" s="1895"/>
      <c r="B11" s="1896"/>
      <c r="C11" s="1896"/>
      <c r="D11" s="1897"/>
      <c r="E11" s="1892" t="s">
        <v>9</v>
      </c>
      <c r="F11" s="1892"/>
      <c r="G11" s="1892"/>
      <c r="H11" s="1892" t="s">
        <v>10</v>
      </c>
      <c r="I11" s="1892"/>
      <c r="J11" s="1892"/>
      <c r="K11" s="1892" t="s">
        <v>11</v>
      </c>
      <c r="L11" s="1892"/>
      <c r="M11" s="1892"/>
      <c r="N11" s="1892" t="s">
        <v>12</v>
      </c>
      <c r="O11" s="1892"/>
      <c r="P11" s="1892" t="s">
        <v>13</v>
      </c>
      <c r="Q11" s="1892"/>
      <c r="R11" s="1892"/>
      <c r="S11" s="1892"/>
      <c r="T11" s="1892"/>
      <c r="U11" s="1892"/>
      <c r="V11" s="1892"/>
      <c r="W11" s="1892"/>
      <c r="X11" s="1892"/>
    </row>
    <row r="12" spans="1:24" ht="15.75" thickBot="1">
      <c r="A12" s="1895"/>
      <c r="B12" s="1896"/>
      <c r="C12" s="1896"/>
      <c r="D12" s="1898"/>
      <c r="E12" s="1717" t="s">
        <v>14</v>
      </c>
      <c r="F12" s="1111" t="s">
        <v>15</v>
      </c>
      <c r="G12" s="1111" t="s">
        <v>16</v>
      </c>
      <c r="H12" s="1717" t="s">
        <v>14</v>
      </c>
      <c r="I12" s="1715" t="s">
        <v>15</v>
      </c>
      <c r="J12" s="1715" t="s">
        <v>16</v>
      </c>
      <c r="K12" s="1717" t="s">
        <v>14</v>
      </c>
      <c r="L12" s="1715" t="s">
        <v>15</v>
      </c>
      <c r="M12" s="1715" t="s">
        <v>16</v>
      </c>
      <c r="N12" s="1716" t="s">
        <v>4</v>
      </c>
      <c r="O12" s="1715" t="s">
        <v>16</v>
      </c>
      <c r="P12" s="1716" t="s">
        <v>4</v>
      </c>
      <c r="Q12" s="1714" t="s">
        <v>17</v>
      </c>
      <c r="R12" s="1716" t="s">
        <v>4</v>
      </c>
      <c r="S12" s="1715" t="s">
        <v>15</v>
      </c>
      <c r="T12" s="1715" t="s">
        <v>16</v>
      </c>
      <c r="U12" s="1716" t="s">
        <v>4</v>
      </c>
      <c r="V12" s="1715" t="s">
        <v>18</v>
      </c>
      <c r="W12" s="1716" t="s">
        <v>4</v>
      </c>
      <c r="X12" s="1715" t="s">
        <v>18</v>
      </c>
    </row>
    <row r="13" spans="1:24">
      <c r="A13" s="1115" t="s">
        <v>19</v>
      </c>
      <c r="B13" s="1116" t="s">
        <v>20</v>
      </c>
      <c r="C13" s="1117" t="s">
        <v>21</v>
      </c>
      <c r="D13" s="1118">
        <f t="shared" ref="D13:D76" si="0">H13+K13</f>
        <v>6992.2970000000005</v>
      </c>
      <c r="E13" s="1119">
        <f>E16+E23+E34+E36+E39+E41+E43+E45+E47+E49+E51+E53+E55+E57+E59+E61+E63+E65+E67+E69+E71</f>
        <v>0</v>
      </c>
      <c r="F13" s="1119">
        <f>F16+F23+F34+F36+F39+F41+F43+F45+F47+F49+F51+F53+F55+F57+F59+F61+F63+F65+F67+F69+F71</f>
        <v>0</v>
      </c>
      <c r="G13" s="1119">
        <f>G16+G23+G34+G36+G39+G41+G43+G45+G47+G49+G51+G53+G55+G57+G59+G61+G63+G65+G67+G69+G71</f>
        <v>0</v>
      </c>
      <c r="H13" s="1120">
        <f>I13+J13</f>
        <v>6557.1160000000009</v>
      </c>
      <c r="I13" s="1121">
        <f>I16+I23+I34+I36+I39+I41+I43+I45+I47+I49+I51+I53+I55+I57+I59+I61+I63+I65+I67+I69+I71</f>
        <v>5715.9630000000006</v>
      </c>
      <c r="J13" s="1122">
        <f>J16+J23+J34+J36+J39+J41+J43+J45+J47+J49+J51+J53+J55+J57+J59+J61+J63+J65+J67+J69+J71</f>
        <v>841.15300000000002</v>
      </c>
      <c r="K13" s="1123">
        <f>L13+M13</f>
        <v>435.18099999999998</v>
      </c>
      <c r="L13" s="1121">
        <f>L16+L23+L34+L36+L39+L41+L43+L45+L47+L49+L51+L53+L55+L57+L59+L61+L63+L65+L67+L69+L71</f>
        <v>434.59699999999998</v>
      </c>
      <c r="M13" s="656">
        <f>M16+M23+M34+M36+M39+M41+M43+M45+M47+M49+M51+M53+M55+M57+M59+M61+M63+M65+M67+M69+M71</f>
        <v>0.58399999999999996</v>
      </c>
      <c r="N13" s="656">
        <v>0</v>
      </c>
      <c r="O13" s="656">
        <v>0</v>
      </c>
      <c r="P13" s="656">
        <v>0</v>
      </c>
      <c r="Q13" s="656">
        <v>0</v>
      </c>
      <c r="R13" s="656">
        <v>0</v>
      </c>
      <c r="S13" s="656">
        <v>0</v>
      </c>
      <c r="T13" s="656">
        <v>0</v>
      </c>
      <c r="U13" s="656">
        <v>0</v>
      </c>
      <c r="V13" s="656">
        <v>0</v>
      </c>
      <c r="W13" s="656">
        <v>0</v>
      </c>
      <c r="X13" s="656">
        <v>0</v>
      </c>
    </row>
    <row r="14" spans="1:24" ht="22.5">
      <c r="A14" s="1891">
        <v>1</v>
      </c>
      <c r="B14" s="858" t="s">
        <v>22</v>
      </c>
      <c r="C14" s="1124" t="s">
        <v>23</v>
      </c>
      <c r="D14" s="1125">
        <f t="shared" si="0"/>
        <v>71</v>
      </c>
      <c r="E14" s="1126"/>
      <c r="F14" s="1126"/>
      <c r="G14" s="1126"/>
      <c r="H14" s="1127">
        <f t="shared" ref="H14:H77" si="1">I14+J14</f>
        <v>62</v>
      </c>
      <c r="I14" s="1128">
        <f>'1 квартал'!I14+'2 квартал'!I14+36</f>
        <v>62</v>
      </c>
      <c r="J14" s="1128">
        <f>'1 квартал'!J14+'2 квартал'!J14</f>
        <v>0</v>
      </c>
      <c r="K14" s="1129">
        <f t="shared" ref="K14:K77" si="2">L14+M14</f>
        <v>9</v>
      </c>
      <c r="L14" s="1128">
        <f>'1 квартал'!L14+'2 квартал'!L14+5</f>
        <v>8</v>
      </c>
      <c r="M14" s="1128">
        <v>1</v>
      </c>
      <c r="N14" s="1126"/>
      <c r="O14" s="1126"/>
      <c r="P14" s="1126"/>
      <c r="Q14" s="1126"/>
      <c r="R14" s="1126"/>
      <c r="S14" s="1126"/>
      <c r="T14" s="1126"/>
      <c r="U14" s="1126"/>
      <c r="V14" s="1126"/>
      <c r="W14" s="1126"/>
      <c r="X14" s="1126"/>
    </row>
    <row r="15" spans="1:24">
      <c r="A15" s="1891"/>
      <c r="B15" s="858"/>
      <c r="C15" s="1130" t="s">
        <v>24</v>
      </c>
      <c r="D15" s="1125">
        <f t="shared" si="0"/>
        <v>0.44642999999999999</v>
      </c>
      <c r="E15" s="781">
        <f>E17+E19+E21</f>
        <v>0</v>
      </c>
      <c r="F15" s="781">
        <f>F17+F19+F21</f>
        <v>0</v>
      </c>
      <c r="G15" s="781">
        <f>G17+G19+G21</f>
        <v>0</v>
      </c>
      <c r="H15" s="1127">
        <f t="shared" si="1"/>
        <v>0.36292999999999997</v>
      </c>
      <c r="I15" s="1131">
        <f>I17+I19</f>
        <v>0.36292999999999997</v>
      </c>
      <c r="J15" s="1132">
        <f>J17+J19</f>
        <v>0</v>
      </c>
      <c r="K15" s="1129">
        <f t="shared" si="2"/>
        <v>8.3500000000000005E-2</v>
      </c>
      <c r="L15" s="1131">
        <f>L17+L19</f>
        <v>8.1500000000000003E-2</v>
      </c>
      <c r="M15" s="781">
        <f>M17+M19</f>
        <v>2E-3</v>
      </c>
      <c r="N15" s="781">
        <f t="shared" ref="N15:X16" si="3">N17+N19</f>
        <v>0</v>
      </c>
      <c r="O15" s="781">
        <f t="shared" si="3"/>
        <v>0</v>
      </c>
      <c r="P15" s="781">
        <f t="shared" si="3"/>
        <v>0</v>
      </c>
      <c r="Q15" s="781">
        <f t="shared" si="3"/>
        <v>0</v>
      </c>
      <c r="R15" s="781">
        <f t="shared" si="3"/>
        <v>0</v>
      </c>
      <c r="S15" s="781">
        <f t="shared" si="3"/>
        <v>0</v>
      </c>
      <c r="T15" s="781">
        <f t="shared" si="3"/>
        <v>0</v>
      </c>
      <c r="U15" s="781">
        <f t="shared" si="3"/>
        <v>0</v>
      </c>
      <c r="V15" s="781">
        <f t="shared" si="3"/>
        <v>0</v>
      </c>
      <c r="W15" s="781">
        <f t="shared" si="3"/>
        <v>0</v>
      </c>
      <c r="X15" s="781">
        <f t="shared" si="3"/>
        <v>0</v>
      </c>
    </row>
    <row r="16" spans="1:24">
      <c r="A16" s="1891"/>
      <c r="B16" s="856" t="s">
        <v>25</v>
      </c>
      <c r="C16" s="1130" t="s">
        <v>21</v>
      </c>
      <c r="D16" s="1125">
        <f t="shared" si="0"/>
        <v>422.233</v>
      </c>
      <c r="E16" s="781">
        <f>E18+E20</f>
        <v>0</v>
      </c>
      <c r="F16" s="781">
        <f>F18+F20</f>
        <v>0</v>
      </c>
      <c r="G16" s="781">
        <f>G18+G20</f>
        <v>0</v>
      </c>
      <c r="H16" s="1127">
        <f t="shared" si="1"/>
        <v>381.625</v>
      </c>
      <c r="I16" s="1131">
        <f>I18+I20+I21</f>
        <v>381.625</v>
      </c>
      <c r="J16" s="1132">
        <f>J18+J20+J21</f>
        <v>0</v>
      </c>
      <c r="K16" s="1129">
        <f t="shared" si="2"/>
        <v>40.608000000000004</v>
      </c>
      <c r="L16" s="1131">
        <f>L18+L20+L21</f>
        <v>40.024000000000001</v>
      </c>
      <c r="M16" s="781">
        <f>M18+M20+M21</f>
        <v>0.58399999999999996</v>
      </c>
      <c r="N16" s="781">
        <f t="shared" si="3"/>
        <v>0</v>
      </c>
      <c r="O16" s="781">
        <f t="shared" si="3"/>
        <v>0</v>
      </c>
      <c r="P16" s="781">
        <f t="shared" si="3"/>
        <v>0</v>
      </c>
      <c r="Q16" s="781">
        <f t="shared" si="3"/>
        <v>0</v>
      </c>
      <c r="R16" s="781">
        <f t="shared" si="3"/>
        <v>0</v>
      </c>
      <c r="S16" s="781">
        <f t="shared" si="3"/>
        <v>0</v>
      </c>
      <c r="T16" s="781">
        <f t="shared" si="3"/>
        <v>0</v>
      </c>
      <c r="U16" s="781">
        <f t="shared" si="3"/>
        <v>0</v>
      </c>
      <c r="V16" s="781">
        <f t="shared" si="3"/>
        <v>0</v>
      </c>
      <c r="W16" s="781">
        <f t="shared" si="3"/>
        <v>0</v>
      </c>
      <c r="X16" s="781">
        <f t="shared" si="3"/>
        <v>0</v>
      </c>
    </row>
    <row r="17" spans="1:24">
      <c r="A17" s="856" t="s">
        <v>26</v>
      </c>
      <c r="B17" s="856" t="s">
        <v>27</v>
      </c>
      <c r="C17" s="1130" t="s">
        <v>24</v>
      </c>
      <c r="D17" s="1125">
        <f t="shared" si="0"/>
        <v>0.11660000000000001</v>
      </c>
      <c r="E17" s="781">
        <f>F17+G17</f>
        <v>0</v>
      </c>
      <c r="F17" s="688"/>
      <c r="G17" s="688"/>
      <c r="H17" s="1127">
        <f t="shared" si="1"/>
        <v>0.11660000000000001</v>
      </c>
      <c r="I17" s="1133">
        <f>'1 квартал'!I17+'2 квартал'!I17+0.054</f>
        <v>0.11660000000000001</v>
      </c>
      <c r="J17" s="1133">
        <f>'1 квартал'!J17+'2 квартал'!J17</f>
        <v>0</v>
      </c>
      <c r="K17" s="1129">
        <f t="shared" si="2"/>
        <v>0</v>
      </c>
      <c r="L17" s="1134">
        <f>'1 квартал'!L17+'2 квартал'!L17</f>
        <v>0</v>
      </c>
      <c r="M17" s="1134">
        <f>'1 квартал'!M17+'2 квартал'!M17</f>
        <v>0</v>
      </c>
      <c r="N17" s="781">
        <f t="shared" ref="N17:N32" si="4">O17</f>
        <v>0</v>
      </c>
      <c r="O17" s="857"/>
      <c r="P17" s="781">
        <f t="shared" ref="P17:P71" si="5">Q17</f>
        <v>0</v>
      </c>
      <c r="Q17" s="781"/>
      <c r="R17" s="781">
        <f t="shared" ref="R17:R71" si="6">S17+T17</f>
        <v>0</v>
      </c>
      <c r="S17" s="781"/>
      <c r="T17" s="781"/>
      <c r="U17" s="781">
        <f t="shared" ref="U17:U71" si="7">V17</f>
        <v>0</v>
      </c>
      <c r="V17" s="781"/>
      <c r="W17" s="781">
        <f t="shared" ref="W17:W39" si="8">X17</f>
        <v>0</v>
      </c>
      <c r="X17" s="781"/>
    </row>
    <row r="18" spans="1:24">
      <c r="A18" s="856"/>
      <c r="B18" s="856"/>
      <c r="C18" s="1130" t="s">
        <v>21</v>
      </c>
      <c r="D18" s="1125">
        <f t="shared" si="0"/>
        <v>259.048</v>
      </c>
      <c r="E18" s="781">
        <f>F18+G18</f>
        <v>0</v>
      </c>
      <c r="F18" s="688"/>
      <c r="G18" s="688"/>
      <c r="H18" s="1127">
        <f t="shared" si="1"/>
        <v>259.048</v>
      </c>
      <c r="I18" s="1133">
        <f>'1 квартал'!I18+'2 квартал'!I18+113.181</f>
        <v>259.048</v>
      </c>
      <c r="J18" s="1133">
        <f>'1 квартал'!J18+'2 квартал'!J18</f>
        <v>0</v>
      </c>
      <c r="K18" s="1129">
        <f t="shared" si="2"/>
        <v>0</v>
      </c>
      <c r="L18" s="1134">
        <f>'1 квартал'!L18+'2 квартал'!L18</f>
        <v>0</v>
      </c>
      <c r="M18" s="1134">
        <f>'1 квартал'!M18+'2 квартал'!M18</f>
        <v>0</v>
      </c>
      <c r="N18" s="781">
        <f t="shared" si="4"/>
        <v>0</v>
      </c>
      <c r="O18" s="857"/>
      <c r="P18" s="781">
        <f t="shared" si="5"/>
        <v>0</v>
      </c>
      <c r="Q18" s="781"/>
      <c r="R18" s="781">
        <f t="shared" si="6"/>
        <v>0</v>
      </c>
      <c r="S18" s="781"/>
      <c r="T18" s="781"/>
      <c r="U18" s="781">
        <f t="shared" si="7"/>
        <v>0</v>
      </c>
      <c r="V18" s="781"/>
      <c r="W18" s="781">
        <f t="shared" si="8"/>
        <v>0</v>
      </c>
      <c r="X18" s="781"/>
    </row>
    <row r="19" spans="1:24">
      <c r="A19" s="856" t="s">
        <v>28</v>
      </c>
      <c r="B19" s="856" t="s">
        <v>29</v>
      </c>
      <c r="C19" s="1130" t="s">
        <v>24</v>
      </c>
      <c r="D19" s="1125">
        <f t="shared" si="0"/>
        <v>0.32983000000000001</v>
      </c>
      <c r="E19" s="781">
        <f>F19+G19</f>
        <v>0</v>
      </c>
      <c r="F19" s="688"/>
      <c r="G19" s="688"/>
      <c r="H19" s="1127">
        <f t="shared" si="1"/>
        <v>0.24632999999999999</v>
      </c>
      <c r="I19" s="1133">
        <f>'1 квартал'!I19+'2 квартал'!I19+0.116</f>
        <v>0.24632999999999999</v>
      </c>
      <c r="J19" s="1133">
        <f>'1 квартал'!J19+'2 квартал'!J19</f>
        <v>0</v>
      </c>
      <c r="K19" s="1129">
        <f t="shared" si="2"/>
        <v>8.3500000000000005E-2</v>
      </c>
      <c r="L19" s="1134">
        <f>'1 квартал'!L19+'2 квартал'!L19+0.055</f>
        <v>8.1500000000000003E-2</v>
      </c>
      <c r="M19" s="1134">
        <v>2E-3</v>
      </c>
      <c r="N19" s="781">
        <f t="shared" si="4"/>
        <v>0</v>
      </c>
      <c r="O19" s="857"/>
      <c r="P19" s="781">
        <f t="shared" si="5"/>
        <v>0</v>
      </c>
      <c r="Q19" s="781"/>
      <c r="R19" s="781">
        <f t="shared" si="6"/>
        <v>0</v>
      </c>
      <c r="S19" s="781"/>
      <c r="T19" s="781"/>
      <c r="U19" s="781">
        <f t="shared" si="7"/>
        <v>0</v>
      </c>
      <c r="V19" s="781"/>
      <c r="W19" s="781">
        <f t="shared" si="8"/>
        <v>0</v>
      </c>
      <c r="X19" s="781"/>
    </row>
    <row r="20" spans="1:24">
      <c r="A20" s="856"/>
      <c r="B20" s="856"/>
      <c r="C20" s="1130" t="s">
        <v>21</v>
      </c>
      <c r="D20" s="1125">
        <f t="shared" si="0"/>
        <v>163.185</v>
      </c>
      <c r="E20" s="781">
        <f>F20+G20</f>
        <v>0</v>
      </c>
      <c r="F20" s="688"/>
      <c r="G20" s="688"/>
      <c r="H20" s="1127">
        <f t="shared" si="1"/>
        <v>122.577</v>
      </c>
      <c r="I20" s="1133">
        <f>'1 квартал'!I20+'2 квартал'!I20+63.76</f>
        <v>122.577</v>
      </c>
      <c r="J20" s="1133">
        <f>'1 квартал'!J20+'2 квартал'!J20</f>
        <v>0</v>
      </c>
      <c r="K20" s="1129">
        <f t="shared" si="2"/>
        <v>40.608000000000004</v>
      </c>
      <c r="L20" s="1134">
        <f>'1 квартал'!L20+'2 квартал'!L20+30.279</f>
        <v>40.024000000000001</v>
      </c>
      <c r="M20" s="1134">
        <v>0.58399999999999996</v>
      </c>
      <c r="N20" s="781">
        <f t="shared" si="4"/>
        <v>0</v>
      </c>
      <c r="O20" s="857"/>
      <c r="P20" s="781">
        <f t="shared" si="5"/>
        <v>0</v>
      </c>
      <c r="Q20" s="781"/>
      <c r="R20" s="781">
        <f t="shared" si="6"/>
        <v>0</v>
      </c>
      <c r="S20" s="781"/>
      <c r="T20" s="781"/>
      <c r="U20" s="781">
        <f t="shared" si="7"/>
        <v>0</v>
      </c>
      <c r="V20" s="781"/>
      <c r="W20" s="781">
        <f t="shared" si="8"/>
        <v>0</v>
      </c>
      <c r="X20" s="781"/>
    </row>
    <row r="21" spans="1:24">
      <c r="A21" s="856" t="s">
        <v>30</v>
      </c>
      <c r="B21" s="856" t="s">
        <v>31</v>
      </c>
      <c r="C21" s="1130" t="s">
        <v>21</v>
      </c>
      <c r="D21" s="1125">
        <f t="shared" si="0"/>
        <v>0</v>
      </c>
      <c r="E21" s="781">
        <v>0</v>
      </c>
      <c r="F21" s="781">
        <v>0</v>
      </c>
      <c r="G21" s="781">
        <v>0</v>
      </c>
      <c r="H21" s="1127">
        <f t="shared" si="1"/>
        <v>0</v>
      </c>
      <c r="I21" s="1133">
        <f>'1 квартал'!I21+'2 квартал'!I21</f>
        <v>0</v>
      </c>
      <c r="J21" s="1133">
        <f>'1 квартал'!J21+'2 квартал'!J21</f>
        <v>0</v>
      </c>
      <c r="K21" s="1129">
        <f t="shared" si="2"/>
        <v>0</v>
      </c>
      <c r="L21" s="1134">
        <f>'1 квартал'!L21+'2 квартал'!L21</f>
        <v>0</v>
      </c>
      <c r="M21" s="1134">
        <f>'1 квартал'!M21+'2 квартал'!M21</f>
        <v>0</v>
      </c>
      <c r="N21" s="781">
        <f t="shared" si="4"/>
        <v>0</v>
      </c>
      <c r="O21" s="857"/>
      <c r="P21" s="781">
        <f t="shared" si="5"/>
        <v>0</v>
      </c>
      <c r="Q21" s="781"/>
      <c r="R21" s="781">
        <f t="shared" si="6"/>
        <v>0</v>
      </c>
      <c r="S21" s="781"/>
      <c r="T21" s="781"/>
      <c r="U21" s="781">
        <f t="shared" si="7"/>
        <v>0</v>
      </c>
      <c r="V21" s="781"/>
      <c r="W21" s="781">
        <f t="shared" si="8"/>
        <v>0</v>
      </c>
      <c r="X21" s="781"/>
    </row>
    <row r="22" spans="1:24">
      <c r="A22" s="1135">
        <v>2</v>
      </c>
      <c r="B22" s="1136" t="s">
        <v>32</v>
      </c>
      <c r="C22" s="1137" t="s">
        <v>33</v>
      </c>
      <c r="D22" s="1125">
        <f t="shared" si="0"/>
        <v>5</v>
      </c>
      <c r="E22" s="661"/>
      <c r="F22" s="662"/>
      <c r="G22" s="662"/>
      <c r="H22" s="1127">
        <v>5</v>
      </c>
      <c r="I22" s="1138">
        <v>5</v>
      </c>
      <c r="J22" s="1139"/>
      <c r="K22" s="1129">
        <f t="shared" si="2"/>
        <v>0</v>
      </c>
      <c r="L22" s="1138">
        <v>0</v>
      </c>
      <c r="M22" s="662"/>
      <c r="N22" s="661">
        <f t="shared" si="4"/>
        <v>0</v>
      </c>
      <c r="O22" s="1140"/>
      <c r="P22" s="661">
        <f t="shared" si="5"/>
        <v>0</v>
      </c>
      <c r="Q22" s="661"/>
      <c r="R22" s="661">
        <f t="shared" si="6"/>
        <v>0</v>
      </c>
      <c r="S22" s="661"/>
      <c r="T22" s="661"/>
      <c r="U22" s="661">
        <f t="shared" si="7"/>
        <v>0</v>
      </c>
      <c r="V22" s="661"/>
      <c r="W22" s="661">
        <f t="shared" si="8"/>
        <v>0</v>
      </c>
      <c r="X22" s="661"/>
    </row>
    <row r="23" spans="1:24">
      <c r="A23" s="1141"/>
      <c r="B23" s="1136" t="s">
        <v>34</v>
      </c>
      <c r="C23" s="1137" t="s">
        <v>21</v>
      </c>
      <c r="D23" s="1125">
        <f t="shared" si="0"/>
        <v>1397.5060000000001</v>
      </c>
      <c r="E23" s="661"/>
      <c r="F23" s="662"/>
      <c r="G23" s="662"/>
      <c r="H23" s="1127">
        <f t="shared" si="1"/>
        <v>1397.5060000000001</v>
      </c>
      <c r="I23" s="1138">
        <f>I25+I27+I29+I31+I32</f>
        <v>1397.5060000000001</v>
      </c>
      <c r="J23" s="1139">
        <f>J25+J27+J29+J31+J32</f>
        <v>0</v>
      </c>
      <c r="K23" s="1129">
        <f t="shared" si="2"/>
        <v>0</v>
      </c>
      <c r="L23" s="1138">
        <f>L25+L27+L29+L31+L32</f>
        <v>0</v>
      </c>
      <c r="M23" s="662">
        <f>M25+M27+M29+M31+M32</f>
        <v>0</v>
      </c>
      <c r="N23" s="661">
        <f t="shared" si="4"/>
        <v>0</v>
      </c>
      <c r="O23" s="1140"/>
      <c r="P23" s="661">
        <f t="shared" si="5"/>
        <v>0</v>
      </c>
      <c r="Q23" s="661"/>
      <c r="R23" s="661">
        <f t="shared" si="6"/>
        <v>0</v>
      </c>
      <c r="S23" s="661"/>
      <c r="T23" s="661"/>
      <c r="U23" s="661">
        <f t="shared" si="7"/>
        <v>0</v>
      </c>
      <c r="V23" s="661"/>
      <c r="W23" s="661">
        <f t="shared" si="8"/>
        <v>0</v>
      </c>
      <c r="X23" s="661"/>
    </row>
    <row r="24" spans="1:24">
      <c r="A24" s="1142" t="s">
        <v>35</v>
      </c>
      <c r="B24" s="1143" t="s">
        <v>36</v>
      </c>
      <c r="C24" s="1144" t="s">
        <v>37</v>
      </c>
      <c r="D24" s="1125">
        <f t="shared" si="0"/>
        <v>141.453</v>
      </c>
      <c r="E24" s="781"/>
      <c r="F24" s="688"/>
      <c r="G24" s="688"/>
      <c r="H24" s="1127">
        <f t="shared" si="1"/>
        <v>141.453</v>
      </c>
      <c r="I24" s="1145">
        <v>141.453</v>
      </c>
      <c r="J24" s="1146"/>
      <c r="K24" s="1129">
        <f t="shared" si="2"/>
        <v>0</v>
      </c>
      <c r="L24" s="1145"/>
      <c r="M24" s="1147"/>
      <c r="N24" s="781">
        <f t="shared" si="4"/>
        <v>0</v>
      </c>
      <c r="O24" s="857"/>
      <c r="P24" s="781">
        <f t="shared" si="5"/>
        <v>0</v>
      </c>
      <c r="Q24" s="781"/>
      <c r="R24" s="781">
        <f t="shared" si="6"/>
        <v>0</v>
      </c>
      <c r="S24" s="781"/>
      <c r="T24" s="781"/>
      <c r="U24" s="781">
        <f t="shared" si="7"/>
        <v>0</v>
      </c>
      <c r="V24" s="781"/>
      <c r="W24" s="781">
        <f t="shared" si="8"/>
        <v>0</v>
      </c>
      <c r="X24" s="781"/>
    </row>
    <row r="25" spans="1:24">
      <c r="A25" s="1142"/>
      <c r="B25" s="1143"/>
      <c r="C25" s="1144" t="s">
        <v>21</v>
      </c>
      <c r="D25" s="1125">
        <f t="shared" si="0"/>
        <v>865.51900000000001</v>
      </c>
      <c r="E25" s="781"/>
      <c r="F25" s="688"/>
      <c r="G25" s="688"/>
      <c r="H25" s="1127">
        <f t="shared" si="1"/>
        <v>865.51900000000001</v>
      </c>
      <c r="I25" s="1145">
        <v>865.51900000000001</v>
      </c>
      <c r="J25" s="1146"/>
      <c r="K25" s="1129">
        <f t="shared" si="2"/>
        <v>0</v>
      </c>
      <c r="L25" s="1145"/>
      <c r="M25" s="1147"/>
      <c r="N25" s="781">
        <f t="shared" si="4"/>
        <v>0</v>
      </c>
      <c r="O25" s="857"/>
      <c r="P25" s="781">
        <f t="shared" si="5"/>
        <v>0</v>
      </c>
      <c r="Q25" s="781"/>
      <c r="R25" s="781">
        <f t="shared" si="6"/>
        <v>0</v>
      </c>
      <c r="S25" s="781"/>
      <c r="T25" s="781"/>
      <c r="U25" s="781">
        <f t="shared" si="7"/>
        <v>0</v>
      </c>
      <c r="V25" s="781"/>
      <c r="W25" s="781">
        <f t="shared" si="8"/>
        <v>0</v>
      </c>
      <c r="X25" s="781"/>
    </row>
    <row r="26" spans="1:24">
      <c r="A26" s="1142" t="s">
        <v>38</v>
      </c>
      <c r="B26" s="1143" t="s">
        <v>39</v>
      </c>
      <c r="C26" s="1144" t="s">
        <v>40</v>
      </c>
      <c r="D26" s="1125">
        <f t="shared" si="0"/>
        <v>423.2</v>
      </c>
      <c r="E26" s="781"/>
      <c r="F26" s="688"/>
      <c r="G26" s="688"/>
      <c r="H26" s="1127">
        <f>I26</f>
        <v>423.2</v>
      </c>
      <c r="I26" s="1145">
        <v>423.2</v>
      </c>
      <c r="J26" s="1146"/>
      <c r="K26" s="1129">
        <f t="shared" si="2"/>
        <v>0</v>
      </c>
      <c r="L26" s="1145"/>
      <c r="M26" s="1147"/>
      <c r="N26" s="781">
        <f t="shared" si="4"/>
        <v>0</v>
      </c>
      <c r="O26" s="857"/>
      <c r="P26" s="781">
        <f t="shared" si="5"/>
        <v>0</v>
      </c>
      <c r="Q26" s="781"/>
      <c r="R26" s="781">
        <f t="shared" si="6"/>
        <v>0</v>
      </c>
      <c r="S26" s="781"/>
      <c r="T26" s="781"/>
      <c r="U26" s="781">
        <f t="shared" si="7"/>
        <v>0</v>
      </c>
      <c r="V26" s="781"/>
      <c r="W26" s="781">
        <f t="shared" si="8"/>
        <v>0</v>
      </c>
      <c r="X26" s="781"/>
    </row>
    <row r="27" spans="1:24">
      <c r="A27" s="1142"/>
      <c r="B27" s="1143" t="s">
        <v>41</v>
      </c>
      <c r="C27" s="1144" t="s">
        <v>21</v>
      </c>
      <c r="D27" s="1125">
        <f t="shared" si="0"/>
        <v>476.90300000000002</v>
      </c>
      <c r="E27" s="781"/>
      <c r="F27" s="688"/>
      <c r="G27" s="688"/>
      <c r="H27" s="1127">
        <f t="shared" si="1"/>
        <v>476.90300000000002</v>
      </c>
      <c r="I27" s="1145">
        <v>476.90300000000002</v>
      </c>
      <c r="J27" s="1146"/>
      <c r="K27" s="1129">
        <f t="shared" si="2"/>
        <v>0</v>
      </c>
      <c r="L27" s="1145"/>
      <c r="M27" s="1147"/>
      <c r="N27" s="781">
        <f t="shared" si="4"/>
        <v>0</v>
      </c>
      <c r="O27" s="857"/>
      <c r="P27" s="781">
        <f t="shared" si="5"/>
        <v>0</v>
      </c>
      <c r="Q27" s="781"/>
      <c r="R27" s="781">
        <f t="shared" si="6"/>
        <v>0</v>
      </c>
      <c r="S27" s="781"/>
      <c r="T27" s="781"/>
      <c r="U27" s="781">
        <f t="shared" si="7"/>
        <v>0</v>
      </c>
      <c r="V27" s="781"/>
      <c r="W27" s="781">
        <f t="shared" si="8"/>
        <v>0</v>
      </c>
      <c r="X27" s="781"/>
    </row>
    <row r="28" spans="1:24">
      <c r="A28" s="1142" t="s">
        <v>42</v>
      </c>
      <c r="B28" s="1143" t="s">
        <v>43</v>
      </c>
      <c r="C28" s="1144" t="s">
        <v>40</v>
      </c>
      <c r="D28" s="1125">
        <f t="shared" si="0"/>
        <v>0</v>
      </c>
      <c r="E28" s="781"/>
      <c r="F28" s="688"/>
      <c r="G28" s="688"/>
      <c r="H28" s="1127">
        <f t="shared" si="1"/>
        <v>0</v>
      </c>
      <c r="I28" s="1145"/>
      <c r="J28" s="1146"/>
      <c r="K28" s="1129">
        <f t="shared" si="2"/>
        <v>0</v>
      </c>
      <c r="L28" s="1145"/>
      <c r="M28" s="1147"/>
      <c r="N28" s="781">
        <f t="shared" si="4"/>
        <v>0</v>
      </c>
      <c r="O28" s="857"/>
      <c r="P28" s="781">
        <f t="shared" si="5"/>
        <v>0</v>
      </c>
      <c r="Q28" s="781"/>
      <c r="R28" s="781">
        <f t="shared" si="6"/>
        <v>0</v>
      </c>
      <c r="S28" s="781"/>
      <c r="T28" s="781"/>
      <c r="U28" s="781">
        <f t="shared" si="7"/>
        <v>0</v>
      </c>
      <c r="V28" s="781"/>
      <c r="W28" s="781">
        <f t="shared" si="8"/>
        <v>0</v>
      </c>
      <c r="X28" s="781"/>
    </row>
    <row r="29" spans="1:24">
      <c r="A29" s="1142"/>
      <c r="B29" s="1143" t="s">
        <v>44</v>
      </c>
      <c r="C29" s="1144" t="s">
        <v>21</v>
      </c>
      <c r="D29" s="1125">
        <f t="shared" si="0"/>
        <v>0</v>
      </c>
      <c r="E29" s="781"/>
      <c r="F29" s="688"/>
      <c r="G29" s="688"/>
      <c r="H29" s="1127">
        <f t="shared" si="1"/>
        <v>0</v>
      </c>
      <c r="I29" s="1145"/>
      <c r="J29" s="1146"/>
      <c r="K29" s="1129">
        <f t="shared" si="2"/>
        <v>0</v>
      </c>
      <c r="L29" s="1145"/>
      <c r="M29" s="1147"/>
      <c r="N29" s="781">
        <f t="shared" si="4"/>
        <v>0</v>
      </c>
      <c r="O29" s="857"/>
      <c r="P29" s="781">
        <f t="shared" si="5"/>
        <v>0</v>
      </c>
      <c r="Q29" s="781"/>
      <c r="R29" s="781">
        <f t="shared" si="6"/>
        <v>0</v>
      </c>
      <c r="S29" s="781"/>
      <c r="T29" s="781"/>
      <c r="U29" s="781">
        <f t="shared" si="7"/>
        <v>0</v>
      </c>
      <c r="V29" s="781"/>
      <c r="W29" s="781">
        <f t="shared" si="8"/>
        <v>0</v>
      </c>
      <c r="X29" s="781"/>
    </row>
    <row r="30" spans="1:24">
      <c r="A30" s="1142" t="s">
        <v>45</v>
      </c>
      <c r="B30" s="1143" t="s">
        <v>46</v>
      </c>
      <c r="C30" s="1144" t="s">
        <v>47</v>
      </c>
      <c r="D30" s="1125">
        <f t="shared" si="0"/>
        <v>0</v>
      </c>
      <c r="E30" s="781"/>
      <c r="F30" s="688"/>
      <c r="G30" s="688"/>
      <c r="H30" s="1127">
        <f t="shared" si="1"/>
        <v>0</v>
      </c>
      <c r="I30" s="1145"/>
      <c r="J30" s="1146"/>
      <c r="K30" s="1129">
        <f t="shared" si="2"/>
        <v>0</v>
      </c>
      <c r="L30" s="1145"/>
      <c r="M30" s="1147"/>
      <c r="N30" s="781">
        <f t="shared" si="4"/>
        <v>0</v>
      </c>
      <c r="O30" s="857"/>
      <c r="P30" s="781">
        <f t="shared" si="5"/>
        <v>0</v>
      </c>
      <c r="Q30" s="781"/>
      <c r="R30" s="781">
        <f t="shared" si="6"/>
        <v>0</v>
      </c>
      <c r="S30" s="781"/>
      <c r="T30" s="781"/>
      <c r="U30" s="781">
        <f t="shared" si="7"/>
        <v>0</v>
      </c>
      <c r="V30" s="781"/>
      <c r="W30" s="781">
        <f t="shared" si="8"/>
        <v>0</v>
      </c>
      <c r="X30" s="781"/>
    </row>
    <row r="31" spans="1:24">
      <c r="A31" s="1142"/>
      <c r="B31" s="1143"/>
      <c r="C31" s="1144" t="s">
        <v>21</v>
      </c>
      <c r="D31" s="1125">
        <f t="shared" si="0"/>
        <v>0</v>
      </c>
      <c r="E31" s="781"/>
      <c r="F31" s="688"/>
      <c r="G31" s="688"/>
      <c r="H31" s="1127">
        <f t="shared" si="1"/>
        <v>0</v>
      </c>
      <c r="I31" s="1145"/>
      <c r="J31" s="1146"/>
      <c r="K31" s="1129">
        <f t="shared" si="2"/>
        <v>0</v>
      </c>
      <c r="L31" s="1145"/>
      <c r="M31" s="1147"/>
      <c r="N31" s="781">
        <f t="shared" si="4"/>
        <v>0</v>
      </c>
      <c r="O31" s="857"/>
      <c r="P31" s="781">
        <f t="shared" si="5"/>
        <v>0</v>
      </c>
      <c r="Q31" s="781"/>
      <c r="R31" s="781">
        <f t="shared" si="6"/>
        <v>0</v>
      </c>
      <c r="S31" s="781"/>
      <c r="T31" s="781"/>
      <c r="U31" s="781">
        <f t="shared" si="7"/>
        <v>0</v>
      </c>
      <c r="V31" s="781"/>
      <c r="W31" s="781">
        <f t="shared" si="8"/>
        <v>0</v>
      </c>
      <c r="X31" s="781"/>
    </row>
    <row r="32" spans="1:24" ht="75">
      <c r="A32" s="1142" t="s">
        <v>48</v>
      </c>
      <c r="B32" s="1148" t="s">
        <v>49</v>
      </c>
      <c r="C32" s="1144" t="s">
        <v>21</v>
      </c>
      <c r="D32" s="1125">
        <f t="shared" si="0"/>
        <v>55.084000000000003</v>
      </c>
      <c r="E32" s="781"/>
      <c r="F32" s="688"/>
      <c r="G32" s="688"/>
      <c r="H32" s="1127">
        <f t="shared" si="1"/>
        <v>55.084000000000003</v>
      </c>
      <c r="I32" s="1145">
        <v>55.084000000000003</v>
      </c>
      <c r="J32" s="1146"/>
      <c r="K32" s="1129">
        <f t="shared" si="2"/>
        <v>0</v>
      </c>
      <c r="L32" s="1145"/>
      <c r="M32" s="1147"/>
      <c r="N32" s="781">
        <f t="shared" si="4"/>
        <v>0</v>
      </c>
      <c r="O32" s="857"/>
      <c r="P32" s="781">
        <f t="shared" si="5"/>
        <v>0</v>
      </c>
      <c r="Q32" s="781"/>
      <c r="R32" s="781">
        <f t="shared" si="6"/>
        <v>0</v>
      </c>
      <c r="S32" s="781"/>
      <c r="T32" s="781"/>
      <c r="U32" s="781">
        <f t="shared" si="7"/>
        <v>0</v>
      </c>
      <c r="V32" s="781"/>
      <c r="W32" s="781">
        <f t="shared" si="8"/>
        <v>0</v>
      </c>
      <c r="X32" s="781"/>
    </row>
    <row r="33" spans="1:24">
      <c r="A33" s="1149">
        <v>3</v>
      </c>
      <c r="B33" s="858" t="s">
        <v>50</v>
      </c>
      <c r="C33" s="1130" t="s">
        <v>51</v>
      </c>
      <c r="D33" s="1125">
        <f t="shared" si="0"/>
        <v>1.9016000000000002</v>
      </c>
      <c r="E33" s="781">
        <f t="shared" ref="E33:E39" si="9">F33+G33</f>
        <v>0</v>
      </c>
      <c r="F33" s="688"/>
      <c r="G33" s="688"/>
      <c r="H33" s="1127">
        <f t="shared" si="1"/>
        <v>1.3416000000000001</v>
      </c>
      <c r="I33" s="1134">
        <f>'1 квартал'!I33+'2 квартал'!I33+0.348</f>
        <v>1.3416000000000001</v>
      </c>
      <c r="J33" s="1134">
        <f>'1 квартал'!J33+'2 квартал'!J33</f>
        <v>0</v>
      </c>
      <c r="K33" s="1129">
        <f t="shared" si="2"/>
        <v>0.56000000000000005</v>
      </c>
      <c r="L33" s="1134">
        <f>'1 квартал'!L33+'2 квартал'!L33+0.209</f>
        <v>0.56000000000000005</v>
      </c>
      <c r="M33" s="1134">
        <f>'1 квартал'!M33+'2 квартал'!M33</f>
        <v>0</v>
      </c>
      <c r="N33" s="781">
        <v>0</v>
      </c>
      <c r="O33" s="857"/>
      <c r="P33" s="781">
        <f t="shared" si="5"/>
        <v>0</v>
      </c>
      <c r="Q33" s="781"/>
      <c r="R33" s="781">
        <f t="shared" si="6"/>
        <v>0</v>
      </c>
      <c r="S33" s="781"/>
      <c r="T33" s="781"/>
      <c r="U33" s="781">
        <f t="shared" si="7"/>
        <v>0</v>
      </c>
      <c r="V33" s="781"/>
      <c r="W33" s="781">
        <f t="shared" si="8"/>
        <v>0</v>
      </c>
      <c r="X33" s="781"/>
    </row>
    <row r="34" spans="1:24">
      <c r="A34" s="856"/>
      <c r="B34" s="858" t="s">
        <v>52</v>
      </c>
      <c r="C34" s="1130" t="s">
        <v>21</v>
      </c>
      <c r="D34" s="1125">
        <f t="shared" si="0"/>
        <v>1180.346</v>
      </c>
      <c r="E34" s="781">
        <f t="shared" si="9"/>
        <v>0</v>
      </c>
      <c r="F34" s="688"/>
      <c r="G34" s="688"/>
      <c r="H34" s="1127">
        <f t="shared" si="1"/>
        <v>824.077</v>
      </c>
      <c r="I34" s="1134">
        <f>'1 квартал'!I34+'2 квартал'!I34+257.038</f>
        <v>824.077</v>
      </c>
      <c r="J34" s="1134">
        <f>'1 квартал'!J34+'2 квартал'!J34</f>
        <v>0</v>
      </c>
      <c r="K34" s="1129">
        <f t="shared" si="2"/>
        <v>356.26900000000001</v>
      </c>
      <c r="L34" s="1134">
        <f>'1 квартал'!L34+'2 квартал'!L34+162.83</f>
        <v>356.26900000000001</v>
      </c>
      <c r="M34" s="1134">
        <f>'1 квартал'!M34+'2 квартал'!M34</f>
        <v>0</v>
      </c>
      <c r="N34" s="781">
        <v>0</v>
      </c>
      <c r="O34" s="857"/>
      <c r="P34" s="781">
        <f t="shared" si="5"/>
        <v>0</v>
      </c>
      <c r="Q34" s="781"/>
      <c r="R34" s="781">
        <f t="shared" si="6"/>
        <v>0</v>
      </c>
      <c r="S34" s="781"/>
      <c r="T34" s="781"/>
      <c r="U34" s="781">
        <f t="shared" si="7"/>
        <v>0</v>
      </c>
      <c r="V34" s="781"/>
      <c r="W34" s="781">
        <f t="shared" si="8"/>
        <v>0</v>
      </c>
      <c r="X34" s="781"/>
    </row>
    <row r="35" spans="1:24">
      <c r="A35" s="1149">
        <v>4</v>
      </c>
      <c r="B35" s="858" t="s">
        <v>53</v>
      </c>
      <c r="C35" s="1130" t="s">
        <v>24</v>
      </c>
      <c r="D35" s="1125">
        <f t="shared" si="0"/>
        <v>0.39800000000000002</v>
      </c>
      <c r="E35" s="781">
        <f t="shared" si="9"/>
        <v>0</v>
      </c>
      <c r="F35" s="688"/>
      <c r="G35" s="688"/>
      <c r="H35" s="1127">
        <f t="shared" si="1"/>
        <v>0.39800000000000002</v>
      </c>
      <c r="I35" s="1134">
        <f>'1 квартал'!I35+'2 квартал'!I35+0.242</f>
        <v>0.39800000000000002</v>
      </c>
      <c r="J35" s="1134">
        <f>'1 квартал'!J35+'2 квартал'!J35</f>
        <v>0</v>
      </c>
      <c r="K35" s="1129">
        <f t="shared" si="2"/>
        <v>0</v>
      </c>
      <c r="L35" s="1134">
        <f>'1 квартал'!L35+'2 квартал'!L35</f>
        <v>0</v>
      </c>
      <c r="M35" s="1134">
        <f>'1 квартал'!M35+'2 квартал'!M35</f>
        <v>0</v>
      </c>
      <c r="N35" s="781">
        <f t="shared" ref="N35:N71" si="10">O35</f>
        <v>0</v>
      </c>
      <c r="O35" s="857"/>
      <c r="P35" s="781">
        <f t="shared" si="5"/>
        <v>0</v>
      </c>
      <c r="Q35" s="781"/>
      <c r="R35" s="781">
        <f t="shared" si="6"/>
        <v>0</v>
      </c>
      <c r="S35" s="781"/>
      <c r="T35" s="781"/>
      <c r="U35" s="781">
        <f t="shared" si="7"/>
        <v>0</v>
      </c>
      <c r="V35" s="781"/>
      <c r="W35" s="781">
        <f t="shared" si="8"/>
        <v>0</v>
      </c>
      <c r="X35" s="781"/>
    </row>
    <row r="36" spans="1:24">
      <c r="A36" s="1150"/>
      <c r="B36" s="856"/>
      <c r="C36" s="1130" t="s">
        <v>21</v>
      </c>
      <c r="D36" s="1125">
        <f t="shared" si="0"/>
        <v>286.35700000000003</v>
      </c>
      <c r="E36" s="781">
        <f t="shared" si="9"/>
        <v>0</v>
      </c>
      <c r="F36" s="688"/>
      <c r="G36" s="688"/>
      <c r="H36" s="1127">
        <f t="shared" si="1"/>
        <v>286.35700000000003</v>
      </c>
      <c r="I36" s="1134">
        <v>286.35700000000003</v>
      </c>
      <c r="J36" s="1134">
        <f>'1 квартал'!J36+'2 квартал'!J36</f>
        <v>0</v>
      </c>
      <c r="K36" s="1129">
        <f t="shared" si="2"/>
        <v>0</v>
      </c>
      <c r="L36" s="1134">
        <f>'1 квартал'!L36+'2 квартал'!L36</f>
        <v>0</v>
      </c>
      <c r="M36" s="1134">
        <f>'1 квартал'!M36+'2 квартал'!M36</f>
        <v>0</v>
      </c>
      <c r="N36" s="781">
        <f t="shared" si="10"/>
        <v>0</v>
      </c>
      <c r="O36" s="857"/>
      <c r="P36" s="781">
        <f t="shared" si="5"/>
        <v>0</v>
      </c>
      <c r="Q36" s="781"/>
      <c r="R36" s="781">
        <f t="shared" si="6"/>
        <v>0</v>
      </c>
      <c r="S36" s="781"/>
      <c r="T36" s="781"/>
      <c r="U36" s="781">
        <f t="shared" si="7"/>
        <v>0</v>
      </c>
      <c r="V36" s="781"/>
      <c r="W36" s="781">
        <f t="shared" si="8"/>
        <v>0</v>
      </c>
      <c r="X36" s="781"/>
    </row>
    <row r="37" spans="1:24">
      <c r="A37" s="1149">
        <v>5</v>
      </c>
      <c r="B37" s="858" t="s">
        <v>54</v>
      </c>
      <c r="C37" s="1130" t="s">
        <v>24</v>
      </c>
      <c r="D37" s="1125">
        <f t="shared" si="0"/>
        <v>87.734799999999993</v>
      </c>
      <c r="E37" s="781">
        <f t="shared" si="9"/>
        <v>0</v>
      </c>
      <c r="F37" s="688"/>
      <c r="G37" s="688"/>
      <c r="H37" s="1127">
        <f t="shared" si="1"/>
        <v>87.734799999999993</v>
      </c>
      <c r="I37" s="1134">
        <f>'1 квартал'!I37+'2 квартал'!I37+85.648</f>
        <v>87.734799999999993</v>
      </c>
      <c r="J37" s="1134">
        <f>'1 квартал'!J37+'2 квартал'!J37</f>
        <v>0</v>
      </c>
      <c r="K37" s="1129">
        <f t="shared" si="2"/>
        <v>0</v>
      </c>
      <c r="L37" s="1134">
        <f>'1 квартал'!L37+'2 квартал'!L37</f>
        <v>0</v>
      </c>
      <c r="M37" s="1134">
        <f>'1 квартал'!M37+'2 квартал'!M37</f>
        <v>0</v>
      </c>
      <c r="N37" s="781">
        <f t="shared" si="10"/>
        <v>0</v>
      </c>
      <c r="O37" s="857"/>
      <c r="P37" s="781">
        <f t="shared" si="5"/>
        <v>0</v>
      </c>
      <c r="Q37" s="781"/>
      <c r="R37" s="781">
        <f t="shared" si="6"/>
        <v>0</v>
      </c>
      <c r="S37" s="781"/>
      <c r="T37" s="781"/>
      <c r="U37" s="781">
        <f t="shared" si="7"/>
        <v>0</v>
      </c>
      <c r="V37" s="781"/>
      <c r="W37" s="781">
        <f t="shared" si="8"/>
        <v>0</v>
      </c>
      <c r="X37" s="781"/>
    </row>
    <row r="38" spans="1:24">
      <c r="A38" s="1150"/>
      <c r="B38" s="858" t="s">
        <v>55</v>
      </c>
      <c r="C38" s="1130" t="s">
        <v>56</v>
      </c>
      <c r="D38" s="1125">
        <f t="shared" si="0"/>
        <v>6</v>
      </c>
      <c r="E38" s="781">
        <f t="shared" si="9"/>
        <v>0</v>
      </c>
      <c r="F38" s="688"/>
      <c r="G38" s="688"/>
      <c r="H38" s="1127">
        <f t="shared" si="1"/>
        <v>6</v>
      </c>
      <c r="I38" s="1134">
        <f>'1 квартал'!I38+'2 квартал'!I38+1</f>
        <v>6</v>
      </c>
      <c r="J38" s="1134">
        <f>'1 квартал'!J38+'2 квартал'!J38</f>
        <v>0</v>
      </c>
      <c r="K38" s="1129">
        <f t="shared" si="2"/>
        <v>0</v>
      </c>
      <c r="L38" s="1134">
        <f>'1 квартал'!L38+'2 квартал'!L38</f>
        <v>0</v>
      </c>
      <c r="M38" s="1134">
        <f>'1 квартал'!M38+'2 квартал'!M38</f>
        <v>0</v>
      </c>
      <c r="N38" s="781">
        <f t="shared" si="10"/>
        <v>0</v>
      </c>
      <c r="O38" s="857"/>
      <c r="P38" s="781">
        <f t="shared" si="5"/>
        <v>0</v>
      </c>
      <c r="Q38" s="781"/>
      <c r="R38" s="781">
        <f t="shared" si="6"/>
        <v>0</v>
      </c>
      <c r="S38" s="781"/>
      <c r="T38" s="781"/>
      <c r="U38" s="781">
        <f t="shared" si="7"/>
        <v>0</v>
      </c>
      <c r="V38" s="781"/>
      <c r="W38" s="781">
        <f t="shared" si="8"/>
        <v>0</v>
      </c>
      <c r="X38" s="781"/>
    </row>
    <row r="39" spans="1:24">
      <c r="A39" s="1150"/>
      <c r="B39" s="858"/>
      <c r="C39" s="1130" t="s">
        <v>21</v>
      </c>
      <c r="D39" s="1125">
        <f t="shared" si="0"/>
        <v>728.46599999999989</v>
      </c>
      <c r="E39" s="781">
        <f t="shared" si="9"/>
        <v>0</v>
      </c>
      <c r="F39" s="688"/>
      <c r="G39" s="688"/>
      <c r="H39" s="1127">
        <f t="shared" si="1"/>
        <v>728.46599999999989</v>
      </c>
      <c r="I39" s="1134">
        <f>'1 квартал'!I39+'2 квартал'!I39+71.414</f>
        <v>728.46599999999989</v>
      </c>
      <c r="J39" s="1134">
        <f>'1 квартал'!J39+'2 квартал'!J39</f>
        <v>0</v>
      </c>
      <c r="K39" s="1129">
        <f t="shared" si="2"/>
        <v>0</v>
      </c>
      <c r="L39" s="1134">
        <f>'1 квартал'!L39+'2 квартал'!L39</f>
        <v>0</v>
      </c>
      <c r="M39" s="1134">
        <f>'1 квартал'!M39+'2 квартал'!M39</f>
        <v>0</v>
      </c>
      <c r="N39" s="781">
        <f t="shared" si="10"/>
        <v>0</v>
      </c>
      <c r="O39" s="857"/>
      <c r="P39" s="781">
        <f t="shared" si="5"/>
        <v>0</v>
      </c>
      <c r="Q39" s="781"/>
      <c r="R39" s="781">
        <f t="shared" si="6"/>
        <v>0</v>
      </c>
      <c r="S39" s="781"/>
      <c r="T39" s="781"/>
      <c r="U39" s="781">
        <f t="shared" si="7"/>
        <v>0</v>
      </c>
      <c r="V39" s="781"/>
      <c r="W39" s="781">
        <f t="shared" si="8"/>
        <v>0</v>
      </c>
      <c r="X39" s="781"/>
    </row>
    <row r="40" spans="1:24" ht="94.5">
      <c r="A40" s="1150" t="s">
        <v>57</v>
      </c>
      <c r="B40" s="1151" t="s">
        <v>58</v>
      </c>
      <c r="C40" s="1130" t="s">
        <v>24</v>
      </c>
      <c r="D40" s="1125">
        <f t="shared" si="0"/>
        <v>0.12499999999999999</v>
      </c>
      <c r="E40" s="781"/>
      <c r="F40" s="688"/>
      <c r="G40" s="688"/>
      <c r="H40" s="1127">
        <f t="shared" si="1"/>
        <v>9.6999999999999989E-2</v>
      </c>
      <c r="I40" s="1134">
        <f>'1 квартал'!I40+'2 квартал'!I40+0.087</f>
        <v>9.6999999999999989E-2</v>
      </c>
      <c r="J40" s="1134">
        <f>'1 квартал'!J40+'2 квартал'!J40</f>
        <v>0</v>
      </c>
      <c r="K40" s="1129">
        <f t="shared" si="2"/>
        <v>2.8000000000000001E-2</v>
      </c>
      <c r="L40" s="1134">
        <f>'1 квартал'!L40+'2 квартал'!L40+0.028</f>
        <v>2.8000000000000001E-2</v>
      </c>
      <c r="M40" s="1134">
        <f>'1 квартал'!M40+'2 квартал'!M40</f>
        <v>0</v>
      </c>
      <c r="N40" s="781">
        <f t="shared" si="10"/>
        <v>0</v>
      </c>
      <c r="O40" s="857"/>
      <c r="P40" s="781">
        <f t="shared" si="5"/>
        <v>0</v>
      </c>
      <c r="Q40" s="781"/>
      <c r="R40" s="781">
        <f t="shared" si="6"/>
        <v>0</v>
      </c>
      <c r="S40" s="781"/>
      <c r="T40" s="781"/>
      <c r="U40" s="781">
        <f t="shared" si="7"/>
        <v>0</v>
      </c>
      <c r="V40" s="781"/>
      <c r="W40" s="781"/>
      <c r="X40" s="781"/>
    </row>
    <row r="41" spans="1:24">
      <c r="A41" s="1150"/>
      <c r="B41" s="858"/>
      <c r="C41" s="1130" t="s">
        <v>21</v>
      </c>
      <c r="D41" s="1125">
        <f t="shared" si="0"/>
        <v>18.21</v>
      </c>
      <c r="E41" s="781"/>
      <c r="F41" s="688"/>
      <c r="G41" s="688"/>
      <c r="H41" s="1127">
        <f t="shared" si="1"/>
        <v>13.432</v>
      </c>
      <c r="I41" s="1134">
        <f>'1 квартал'!I41+'2 квартал'!I41+12.067</f>
        <v>13.432</v>
      </c>
      <c r="J41" s="1134">
        <f>'1 квартал'!J41+'2 квартал'!J41</f>
        <v>0</v>
      </c>
      <c r="K41" s="1129">
        <f t="shared" si="2"/>
        <v>4.7779999999999996</v>
      </c>
      <c r="L41" s="1134">
        <f>'1 квартал'!L41+'2 квартал'!L41+4.778</f>
        <v>4.7779999999999996</v>
      </c>
      <c r="M41" s="1134">
        <f>'1 квартал'!M41+'2 квартал'!M41</f>
        <v>0</v>
      </c>
      <c r="N41" s="781">
        <f t="shared" si="10"/>
        <v>0</v>
      </c>
      <c r="O41" s="857"/>
      <c r="P41" s="781">
        <f t="shared" si="5"/>
        <v>0</v>
      </c>
      <c r="Q41" s="781"/>
      <c r="R41" s="781">
        <f t="shared" si="6"/>
        <v>0</v>
      </c>
      <c r="S41" s="781"/>
      <c r="T41" s="781"/>
      <c r="U41" s="781">
        <f t="shared" si="7"/>
        <v>0</v>
      </c>
      <c r="V41" s="781"/>
      <c r="W41" s="781"/>
      <c r="X41" s="781"/>
    </row>
    <row r="42" spans="1:24" ht="126">
      <c r="A42" s="857"/>
      <c r="B42" s="1151" t="s">
        <v>59</v>
      </c>
      <c r="C42" s="1130" t="s">
        <v>24</v>
      </c>
      <c r="D42" s="1125">
        <f t="shared" si="0"/>
        <v>0.21761500000000003</v>
      </c>
      <c r="E42" s="781"/>
      <c r="F42" s="688"/>
      <c r="G42" s="688"/>
      <c r="H42" s="1127">
        <f t="shared" si="1"/>
        <v>0.21261500000000003</v>
      </c>
      <c r="I42" s="1134">
        <f>'1 квартал'!I42+'2 квартал'!I42+0.01</f>
        <v>0.20761500000000002</v>
      </c>
      <c r="J42" s="1134">
        <f>'1 квартал'!J42+'2 квартал'!J42</f>
        <v>5.0000000000000001E-3</v>
      </c>
      <c r="K42" s="1129">
        <f t="shared" si="2"/>
        <v>5.0000000000000001E-3</v>
      </c>
      <c r="L42" s="1134">
        <f>'1 квартал'!L42+'2 квартал'!L42+0.005</f>
        <v>5.0000000000000001E-3</v>
      </c>
      <c r="M42" s="1134">
        <f>'1 квартал'!M42+'2 квартал'!M42</f>
        <v>0</v>
      </c>
      <c r="N42" s="781">
        <f t="shared" si="10"/>
        <v>0</v>
      </c>
      <c r="O42" s="857"/>
      <c r="P42" s="781">
        <f t="shared" si="5"/>
        <v>0</v>
      </c>
      <c r="Q42" s="781"/>
      <c r="R42" s="781">
        <f t="shared" si="6"/>
        <v>0</v>
      </c>
      <c r="S42" s="781"/>
      <c r="T42" s="781"/>
      <c r="U42" s="781">
        <f t="shared" si="7"/>
        <v>0</v>
      </c>
      <c r="V42" s="781"/>
      <c r="W42" s="781"/>
      <c r="X42" s="781"/>
    </row>
    <row r="43" spans="1:24">
      <c r="A43" s="1150"/>
      <c r="B43" s="858"/>
      <c r="C43" s="1130" t="s">
        <v>21</v>
      </c>
      <c r="D43" s="1125">
        <f t="shared" si="0"/>
        <v>251.643</v>
      </c>
      <c r="E43" s="781"/>
      <c r="F43" s="688"/>
      <c r="G43" s="688"/>
      <c r="H43" s="1127">
        <f t="shared" si="1"/>
        <v>241.00800000000001</v>
      </c>
      <c r="I43" s="1134">
        <f>'1 квартал'!I43+'2 квартал'!I43+10.166</f>
        <v>211.096</v>
      </c>
      <c r="J43" s="1134">
        <f>'1 квартал'!J43+'2 квартал'!J43</f>
        <v>29.911999999999999</v>
      </c>
      <c r="K43" s="1129">
        <f t="shared" si="2"/>
        <v>10.635</v>
      </c>
      <c r="L43" s="1134">
        <f>'1 квартал'!L43+'2 квартал'!L43+10.635</f>
        <v>10.635</v>
      </c>
      <c r="M43" s="1134">
        <f>'1 квартал'!M43+'2 квартал'!M43</f>
        <v>0</v>
      </c>
      <c r="N43" s="781">
        <f t="shared" si="10"/>
        <v>0</v>
      </c>
      <c r="O43" s="857"/>
      <c r="P43" s="781">
        <f t="shared" si="5"/>
        <v>0</v>
      </c>
      <c r="Q43" s="781"/>
      <c r="R43" s="781">
        <f t="shared" si="6"/>
        <v>0</v>
      </c>
      <c r="S43" s="781"/>
      <c r="T43" s="781"/>
      <c r="U43" s="781">
        <f t="shared" si="7"/>
        <v>0</v>
      </c>
      <c r="V43" s="781"/>
      <c r="W43" s="781"/>
      <c r="X43" s="781"/>
    </row>
    <row r="44" spans="1:24">
      <c r="A44" s="1149">
        <v>7</v>
      </c>
      <c r="B44" s="858" t="s">
        <v>60</v>
      </c>
      <c r="C44" s="1130" t="s">
        <v>47</v>
      </c>
      <c r="D44" s="1125">
        <f t="shared" si="0"/>
        <v>96</v>
      </c>
      <c r="E44" s="781">
        <f t="shared" ref="E44:E59" si="11">F44+G44</f>
        <v>0</v>
      </c>
      <c r="F44" s="688"/>
      <c r="G44" s="688"/>
      <c r="H44" s="1127">
        <f t="shared" si="1"/>
        <v>96</v>
      </c>
      <c r="I44" s="1134">
        <f>'1 квартал'!I44+'2 квартал'!I44+41</f>
        <v>96</v>
      </c>
      <c r="J44" s="1134">
        <f>'1 квартал'!J44+'2 квартал'!J44</f>
        <v>0</v>
      </c>
      <c r="K44" s="1129">
        <f t="shared" si="2"/>
        <v>0</v>
      </c>
      <c r="L44" s="1134">
        <f>'1 квартал'!L44+'2 квартал'!L44</f>
        <v>0</v>
      </c>
      <c r="M44" s="1134">
        <f>'1 квартал'!M44+'2 квартал'!M44</f>
        <v>0</v>
      </c>
      <c r="N44" s="781">
        <f t="shared" si="10"/>
        <v>0</v>
      </c>
      <c r="O44" s="857"/>
      <c r="P44" s="781">
        <f t="shared" si="5"/>
        <v>0</v>
      </c>
      <c r="Q44" s="781"/>
      <c r="R44" s="781">
        <f t="shared" si="6"/>
        <v>0</v>
      </c>
      <c r="S44" s="781"/>
      <c r="T44" s="781"/>
      <c r="U44" s="781">
        <f t="shared" si="7"/>
        <v>0</v>
      </c>
      <c r="V44" s="781"/>
      <c r="W44" s="781">
        <f t="shared" ref="W44:W71" si="12">X44</f>
        <v>0</v>
      </c>
      <c r="X44" s="781"/>
    </row>
    <row r="45" spans="1:24">
      <c r="A45" s="856"/>
      <c r="B45" s="858" t="s">
        <v>61</v>
      </c>
      <c r="C45" s="1130" t="s">
        <v>21</v>
      </c>
      <c r="D45" s="1125">
        <f t="shared" si="0"/>
        <v>97.905000000000001</v>
      </c>
      <c r="E45" s="781">
        <f t="shared" si="11"/>
        <v>0</v>
      </c>
      <c r="F45" s="688"/>
      <c r="G45" s="688"/>
      <c r="H45" s="1127">
        <f t="shared" si="1"/>
        <v>97.905000000000001</v>
      </c>
      <c r="I45" s="1134">
        <f>'1 квартал'!I45+'2 квартал'!I45+25.245</f>
        <v>97.905000000000001</v>
      </c>
      <c r="J45" s="1134">
        <f>'1 квартал'!J45+'2 квартал'!J45</f>
        <v>0</v>
      </c>
      <c r="K45" s="1129">
        <f t="shared" si="2"/>
        <v>0</v>
      </c>
      <c r="L45" s="1134">
        <f>'1 квартал'!L45+'2 квартал'!L45</f>
        <v>0</v>
      </c>
      <c r="M45" s="1134">
        <f>'1 квартал'!M45+'2 квартал'!M45</f>
        <v>0</v>
      </c>
      <c r="N45" s="781">
        <f t="shared" si="10"/>
        <v>0</v>
      </c>
      <c r="O45" s="857"/>
      <c r="P45" s="781">
        <f t="shared" si="5"/>
        <v>0</v>
      </c>
      <c r="Q45" s="781"/>
      <c r="R45" s="781">
        <f t="shared" si="6"/>
        <v>0</v>
      </c>
      <c r="S45" s="781"/>
      <c r="T45" s="781"/>
      <c r="U45" s="781">
        <f t="shared" si="7"/>
        <v>0</v>
      </c>
      <c r="V45" s="781"/>
      <c r="W45" s="781">
        <f t="shared" si="12"/>
        <v>0</v>
      </c>
      <c r="X45" s="781"/>
    </row>
    <row r="46" spans="1:24">
      <c r="A46" s="1149">
        <v>8</v>
      </c>
      <c r="B46" s="858" t="s">
        <v>62</v>
      </c>
      <c r="C46" s="1130" t="s">
        <v>47</v>
      </c>
      <c r="D46" s="1125">
        <f t="shared" si="0"/>
        <v>0</v>
      </c>
      <c r="E46" s="781">
        <f t="shared" si="11"/>
        <v>0</v>
      </c>
      <c r="F46" s="688"/>
      <c r="G46" s="688"/>
      <c r="H46" s="1127">
        <f t="shared" si="1"/>
        <v>0</v>
      </c>
      <c r="I46" s="1134">
        <f>'1 квартал'!I46+'2 квартал'!I46</f>
        <v>0</v>
      </c>
      <c r="J46" s="1134">
        <f>'1 квартал'!J46+'2 квартал'!J46</f>
        <v>0</v>
      </c>
      <c r="K46" s="1129">
        <f t="shared" si="2"/>
        <v>0</v>
      </c>
      <c r="L46" s="1134">
        <f>'1 квартал'!L46+'2 квартал'!L46</f>
        <v>0</v>
      </c>
      <c r="M46" s="1134">
        <f>'1 квартал'!M46+'2 квартал'!M46</f>
        <v>0</v>
      </c>
      <c r="N46" s="781">
        <f t="shared" si="10"/>
        <v>0</v>
      </c>
      <c r="O46" s="857"/>
      <c r="P46" s="781">
        <f t="shared" si="5"/>
        <v>0</v>
      </c>
      <c r="Q46" s="781"/>
      <c r="R46" s="781">
        <f t="shared" si="6"/>
        <v>0</v>
      </c>
      <c r="S46" s="781"/>
      <c r="T46" s="781"/>
      <c r="U46" s="781">
        <f t="shared" si="7"/>
        <v>0</v>
      </c>
      <c r="V46" s="781"/>
      <c r="W46" s="781">
        <f t="shared" si="12"/>
        <v>0</v>
      </c>
      <c r="X46" s="781"/>
    </row>
    <row r="47" spans="1:24">
      <c r="A47" s="1149"/>
      <c r="B47" s="858" t="s">
        <v>63</v>
      </c>
      <c r="C47" s="1130" t="s">
        <v>21</v>
      </c>
      <c r="D47" s="1125">
        <f t="shared" si="0"/>
        <v>0</v>
      </c>
      <c r="E47" s="781">
        <f t="shared" si="11"/>
        <v>0</v>
      </c>
      <c r="F47" s="688"/>
      <c r="G47" s="688"/>
      <c r="H47" s="1127">
        <f t="shared" si="1"/>
        <v>0</v>
      </c>
      <c r="I47" s="1134">
        <f>'1 квартал'!I47+'2 квартал'!I47</f>
        <v>0</v>
      </c>
      <c r="J47" s="1134">
        <f>'1 квартал'!J47+'2 квартал'!J47</f>
        <v>0</v>
      </c>
      <c r="K47" s="1129">
        <f t="shared" si="2"/>
        <v>0</v>
      </c>
      <c r="L47" s="1134">
        <f>'1 квартал'!L47+'2 квартал'!L47</f>
        <v>0</v>
      </c>
      <c r="M47" s="1134">
        <f>'1 квартал'!M47+'2 квартал'!M47</f>
        <v>0</v>
      </c>
      <c r="N47" s="781">
        <f t="shared" si="10"/>
        <v>0</v>
      </c>
      <c r="O47" s="857"/>
      <c r="P47" s="781">
        <f t="shared" si="5"/>
        <v>0</v>
      </c>
      <c r="Q47" s="781"/>
      <c r="R47" s="781">
        <f t="shared" si="6"/>
        <v>0</v>
      </c>
      <c r="S47" s="781"/>
      <c r="T47" s="781"/>
      <c r="U47" s="781">
        <f t="shared" si="7"/>
        <v>0</v>
      </c>
      <c r="V47" s="781"/>
      <c r="W47" s="781">
        <f t="shared" si="12"/>
        <v>0</v>
      </c>
      <c r="X47" s="781"/>
    </row>
    <row r="48" spans="1:24">
      <c r="A48" s="1149">
        <v>9</v>
      </c>
      <c r="B48" s="858" t="s">
        <v>64</v>
      </c>
      <c r="C48" s="1130" t="s">
        <v>51</v>
      </c>
      <c r="D48" s="1125">
        <f t="shared" si="0"/>
        <v>4.0000000000000001E-3</v>
      </c>
      <c r="E48" s="781">
        <f t="shared" si="11"/>
        <v>0</v>
      </c>
      <c r="F48" s="688"/>
      <c r="G48" s="688"/>
      <c r="H48" s="1127">
        <f t="shared" si="1"/>
        <v>4.0000000000000001E-3</v>
      </c>
      <c r="I48" s="1134">
        <f>'1 квартал'!I48+'2 квартал'!I48+0.004</f>
        <v>4.0000000000000001E-3</v>
      </c>
      <c r="J48" s="1134">
        <f>'1 квартал'!J48+'2 квартал'!J48</f>
        <v>0</v>
      </c>
      <c r="K48" s="1129">
        <f t="shared" si="2"/>
        <v>0</v>
      </c>
      <c r="L48" s="1134">
        <f>'1 квартал'!L48+'2 квартал'!L48</f>
        <v>0</v>
      </c>
      <c r="M48" s="1134">
        <f>'1 квартал'!M48+'2 квартал'!M48</f>
        <v>0</v>
      </c>
      <c r="N48" s="781">
        <f t="shared" si="10"/>
        <v>0</v>
      </c>
      <c r="O48" s="857"/>
      <c r="P48" s="781">
        <f t="shared" si="5"/>
        <v>0</v>
      </c>
      <c r="Q48" s="781"/>
      <c r="R48" s="781">
        <f t="shared" si="6"/>
        <v>0</v>
      </c>
      <c r="S48" s="781"/>
      <c r="T48" s="781"/>
      <c r="U48" s="781">
        <f t="shared" si="7"/>
        <v>0</v>
      </c>
      <c r="V48" s="781"/>
      <c r="W48" s="781">
        <f t="shared" si="12"/>
        <v>0</v>
      </c>
      <c r="X48" s="781"/>
    </row>
    <row r="49" spans="1:24">
      <c r="A49" s="1149"/>
      <c r="B49" s="856"/>
      <c r="C49" s="1130" t="s">
        <v>21</v>
      </c>
      <c r="D49" s="1125">
        <f t="shared" si="0"/>
        <v>6.4939999999999998</v>
      </c>
      <c r="E49" s="781">
        <f t="shared" si="11"/>
        <v>0</v>
      </c>
      <c r="F49" s="688"/>
      <c r="G49" s="688"/>
      <c r="H49" s="1127">
        <f t="shared" si="1"/>
        <v>6.4939999999999998</v>
      </c>
      <c r="I49" s="1134">
        <f>'1 квартал'!I49+'2 квартал'!I49+6.494</f>
        <v>6.4939999999999998</v>
      </c>
      <c r="J49" s="1134">
        <f>'1 квартал'!J49+'2 квартал'!J49</f>
        <v>0</v>
      </c>
      <c r="K49" s="1129">
        <f t="shared" si="2"/>
        <v>0</v>
      </c>
      <c r="L49" s="1134">
        <f>'1 квартал'!L49+'2 квартал'!L49</f>
        <v>0</v>
      </c>
      <c r="M49" s="1134">
        <f>'1 квартал'!M49+'2 квартал'!M49</f>
        <v>0</v>
      </c>
      <c r="N49" s="781">
        <f t="shared" si="10"/>
        <v>0</v>
      </c>
      <c r="O49" s="857"/>
      <c r="P49" s="781">
        <f t="shared" si="5"/>
        <v>0</v>
      </c>
      <c r="Q49" s="781"/>
      <c r="R49" s="781">
        <f t="shared" si="6"/>
        <v>0</v>
      </c>
      <c r="S49" s="781"/>
      <c r="T49" s="781"/>
      <c r="U49" s="781">
        <f t="shared" si="7"/>
        <v>0</v>
      </c>
      <c r="V49" s="781"/>
      <c r="W49" s="781">
        <f t="shared" si="12"/>
        <v>0</v>
      </c>
      <c r="X49" s="781"/>
    </row>
    <row r="50" spans="1:24">
      <c r="A50" s="1149">
        <v>10</v>
      </c>
      <c r="B50" s="858" t="s">
        <v>65</v>
      </c>
      <c r="C50" s="1130" t="s">
        <v>47</v>
      </c>
      <c r="D50" s="1125">
        <f t="shared" si="0"/>
        <v>88</v>
      </c>
      <c r="E50" s="781">
        <f t="shared" si="11"/>
        <v>0</v>
      </c>
      <c r="F50" s="688"/>
      <c r="G50" s="688"/>
      <c r="H50" s="1127">
        <f t="shared" si="1"/>
        <v>85</v>
      </c>
      <c r="I50" s="1134">
        <f>'1 квартал'!I50+'2 квартал'!I50+46</f>
        <v>77</v>
      </c>
      <c r="J50" s="1134">
        <f>'1 квартал'!J50+'2 квартал'!J50</f>
        <v>8</v>
      </c>
      <c r="K50" s="1129">
        <f t="shared" si="2"/>
        <v>3</v>
      </c>
      <c r="L50" s="1134">
        <f>'1 квартал'!L50+'2 квартал'!L50</f>
        <v>3</v>
      </c>
      <c r="M50" s="1134">
        <f>'1 квартал'!M50+'2 квартал'!M50</f>
        <v>0</v>
      </c>
      <c r="N50" s="781">
        <f t="shared" si="10"/>
        <v>0</v>
      </c>
      <c r="O50" s="857"/>
      <c r="P50" s="781">
        <f t="shared" si="5"/>
        <v>0</v>
      </c>
      <c r="Q50" s="781"/>
      <c r="R50" s="781">
        <f t="shared" si="6"/>
        <v>0</v>
      </c>
      <c r="S50" s="781"/>
      <c r="T50" s="781"/>
      <c r="U50" s="781">
        <f t="shared" si="7"/>
        <v>0</v>
      </c>
      <c r="V50" s="781"/>
      <c r="W50" s="781">
        <f t="shared" si="12"/>
        <v>0</v>
      </c>
      <c r="X50" s="781"/>
    </row>
    <row r="51" spans="1:24">
      <c r="A51" s="1149"/>
      <c r="B51" s="858" t="s">
        <v>66</v>
      </c>
      <c r="C51" s="1130" t="s">
        <v>21</v>
      </c>
      <c r="D51" s="1125">
        <f t="shared" si="0"/>
        <v>1160.579</v>
      </c>
      <c r="E51" s="781">
        <f t="shared" si="11"/>
        <v>0</v>
      </c>
      <c r="F51" s="688"/>
      <c r="G51" s="688"/>
      <c r="H51" s="1127">
        <f t="shared" si="1"/>
        <v>1157.105</v>
      </c>
      <c r="I51" s="1134">
        <f>'1 квартал'!I51+'2 квартал'!I51+118.909</f>
        <v>599.14099999999996</v>
      </c>
      <c r="J51" s="1134">
        <f>'1 квартал'!J51+'2 квартал'!J51</f>
        <v>557.96399999999994</v>
      </c>
      <c r="K51" s="1129">
        <f t="shared" si="2"/>
        <v>3.4740000000000002</v>
      </c>
      <c r="L51" s="1134">
        <f>'1 квартал'!L51+'2 квартал'!L51</f>
        <v>3.4740000000000002</v>
      </c>
      <c r="M51" s="1134">
        <f>'1 квартал'!M51+'2 квартал'!M51</f>
        <v>0</v>
      </c>
      <c r="N51" s="781">
        <f t="shared" si="10"/>
        <v>0</v>
      </c>
      <c r="O51" s="857"/>
      <c r="P51" s="781">
        <f t="shared" si="5"/>
        <v>0</v>
      </c>
      <c r="Q51" s="781"/>
      <c r="R51" s="781">
        <f t="shared" si="6"/>
        <v>0</v>
      </c>
      <c r="S51" s="781"/>
      <c r="T51" s="781"/>
      <c r="U51" s="781">
        <f t="shared" si="7"/>
        <v>0</v>
      </c>
      <c r="V51" s="781"/>
      <c r="W51" s="781">
        <f t="shared" si="12"/>
        <v>0</v>
      </c>
      <c r="X51" s="781"/>
    </row>
    <row r="52" spans="1:24">
      <c r="A52" s="1149">
        <v>11</v>
      </c>
      <c r="B52" s="858" t="s">
        <v>67</v>
      </c>
      <c r="C52" s="1130" t="s">
        <v>47</v>
      </c>
      <c r="D52" s="1125">
        <f t="shared" si="0"/>
        <v>62</v>
      </c>
      <c r="E52" s="781">
        <f t="shared" si="11"/>
        <v>0</v>
      </c>
      <c r="F52" s="688"/>
      <c r="G52" s="688"/>
      <c r="H52" s="1127">
        <f t="shared" si="1"/>
        <v>59</v>
      </c>
      <c r="I52" s="1134">
        <f>'1 квартал'!I52+'2 квартал'!I52+10</f>
        <v>54</v>
      </c>
      <c r="J52" s="1134">
        <f>'1 квартал'!J52+'2 квартал'!J52+1</f>
        <v>5</v>
      </c>
      <c r="K52" s="1129">
        <f t="shared" si="2"/>
        <v>3</v>
      </c>
      <c r="L52" s="1134">
        <f>'1 квартал'!L52+'2 квартал'!L52</f>
        <v>3</v>
      </c>
      <c r="M52" s="1134">
        <f>'1 квартал'!M52+'2 квартал'!M52</f>
        <v>0</v>
      </c>
      <c r="N52" s="781">
        <f t="shared" si="10"/>
        <v>0</v>
      </c>
      <c r="O52" s="857"/>
      <c r="P52" s="781">
        <f t="shared" si="5"/>
        <v>0</v>
      </c>
      <c r="Q52" s="781"/>
      <c r="R52" s="781">
        <f t="shared" si="6"/>
        <v>0</v>
      </c>
      <c r="S52" s="781"/>
      <c r="T52" s="781"/>
      <c r="U52" s="781">
        <f t="shared" si="7"/>
        <v>0</v>
      </c>
      <c r="V52" s="781"/>
      <c r="W52" s="781">
        <f t="shared" si="12"/>
        <v>0</v>
      </c>
      <c r="X52" s="781"/>
    </row>
    <row r="53" spans="1:24">
      <c r="A53" s="1149"/>
      <c r="B53" s="856"/>
      <c r="C53" s="1130" t="s">
        <v>21</v>
      </c>
      <c r="D53" s="1125">
        <f t="shared" si="0"/>
        <v>791.16500000000008</v>
      </c>
      <c r="E53" s="781">
        <f t="shared" si="11"/>
        <v>0</v>
      </c>
      <c r="F53" s="688"/>
      <c r="G53" s="688"/>
      <c r="H53" s="1127">
        <f t="shared" si="1"/>
        <v>771.74800000000005</v>
      </c>
      <c r="I53" s="1134">
        <f>'1 квартал'!I53+'2 квартал'!I53+67.626</f>
        <v>618.36800000000005</v>
      </c>
      <c r="J53" s="1134">
        <f>'1 квартал'!J53+'2 квартал'!J53+29.18</f>
        <v>153.38</v>
      </c>
      <c r="K53" s="1129">
        <f t="shared" si="2"/>
        <v>19.417000000000002</v>
      </c>
      <c r="L53" s="1134">
        <f>'1 квартал'!L53+'2 квартал'!L53</f>
        <v>19.417000000000002</v>
      </c>
      <c r="M53" s="1134">
        <f>'1 квартал'!M53+'2 квартал'!M53</f>
        <v>0</v>
      </c>
      <c r="N53" s="781">
        <f t="shared" si="10"/>
        <v>0</v>
      </c>
      <c r="O53" s="857"/>
      <c r="P53" s="781">
        <f t="shared" si="5"/>
        <v>0</v>
      </c>
      <c r="Q53" s="781"/>
      <c r="R53" s="781">
        <f t="shared" si="6"/>
        <v>0</v>
      </c>
      <c r="S53" s="781"/>
      <c r="T53" s="781"/>
      <c r="U53" s="781">
        <f t="shared" si="7"/>
        <v>0</v>
      </c>
      <c r="V53" s="781"/>
      <c r="W53" s="781">
        <f t="shared" si="12"/>
        <v>0</v>
      </c>
      <c r="X53" s="781"/>
    </row>
    <row r="54" spans="1:24">
      <c r="A54" s="1149">
        <v>12</v>
      </c>
      <c r="B54" s="858" t="s">
        <v>68</v>
      </c>
      <c r="C54" s="1130" t="s">
        <v>47</v>
      </c>
      <c r="D54" s="1125">
        <f t="shared" si="0"/>
        <v>70</v>
      </c>
      <c r="E54" s="781">
        <f t="shared" si="11"/>
        <v>0</v>
      </c>
      <c r="F54" s="688"/>
      <c r="G54" s="688"/>
      <c r="H54" s="1127">
        <f t="shared" si="1"/>
        <v>70</v>
      </c>
      <c r="I54" s="1134">
        <f>'1 квартал'!I54+'2 квартал'!I54+5</f>
        <v>65</v>
      </c>
      <c r="J54" s="1134">
        <f>'1 квартал'!J54+'2 квартал'!J54+5</f>
        <v>5</v>
      </c>
      <c r="K54" s="1129">
        <f t="shared" si="2"/>
        <v>0</v>
      </c>
      <c r="L54" s="1134">
        <f>'1 квартал'!L54+'2 квартал'!L54</f>
        <v>0</v>
      </c>
      <c r="M54" s="1134">
        <f>'1 квартал'!M54+'2 квартал'!M54</f>
        <v>0</v>
      </c>
      <c r="N54" s="781">
        <f t="shared" si="10"/>
        <v>0</v>
      </c>
      <c r="O54" s="857"/>
      <c r="P54" s="781">
        <f t="shared" si="5"/>
        <v>0</v>
      </c>
      <c r="Q54" s="781"/>
      <c r="R54" s="781">
        <f t="shared" si="6"/>
        <v>0</v>
      </c>
      <c r="S54" s="781"/>
      <c r="T54" s="781"/>
      <c r="U54" s="781">
        <f t="shared" si="7"/>
        <v>0</v>
      </c>
      <c r="V54" s="781"/>
      <c r="W54" s="781">
        <f t="shared" si="12"/>
        <v>0</v>
      </c>
      <c r="X54" s="781"/>
    </row>
    <row r="55" spans="1:24">
      <c r="A55" s="1149"/>
      <c r="B55" s="858" t="s">
        <v>69</v>
      </c>
      <c r="C55" s="1130" t="s">
        <v>21</v>
      </c>
      <c r="D55" s="1125">
        <f t="shared" si="0"/>
        <v>547.4380000000001</v>
      </c>
      <c r="E55" s="781">
        <f t="shared" si="11"/>
        <v>0</v>
      </c>
      <c r="F55" s="688"/>
      <c r="G55" s="688"/>
      <c r="H55" s="1127">
        <f t="shared" si="1"/>
        <v>547.4380000000001</v>
      </c>
      <c r="I55" s="1134">
        <f>'1 квартал'!I55+'2 квартал'!I55+11.151</f>
        <v>447.54100000000011</v>
      </c>
      <c r="J55" s="1134">
        <f>'1 квартал'!J55+'2 квартал'!J55+99.897</f>
        <v>99.897000000000006</v>
      </c>
      <c r="K55" s="1129">
        <f t="shared" si="2"/>
        <v>0</v>
      </c>
      <c r="L55" s="1134">
        <f>'1 квартал'!L55+'2 квартал'!L55</f>
        <v>0</v>
      </c>
      <c r="M55" s="1134">
        <f>'1 квартал'!M55+'2 квартал'!M55</f>
        <v>0</v>
      </c>
      <c r="N55" s="781">
        <f t="shared" si="10"/>
        <v>0</v>
      </c>
      <c r="O55" s="857"/>
      <c r="P55" s="781">
        <f t="shared" si="5"/>
        <v>0</v>
      </c>
      <c r="Q55" s="781"/>
      <c r="R55" s="781">
        <f t="shared" si="6"/>
        <v>0</v>
      </c>
      <c r="S55" s="781"/>
      <c r="T55" s="781"/>
      <c r="U55" s="781">
        <f t="shared" si="7"/>
        <v>0</v>
      </c>
      <c r="V55" s="781"/>
      <c r="W55" s="781">
        <f t="shared" si="12"/>
        <v>0</v>
      </c>
      <c r="X55" s="781"/>
    </row>
    <row r="56" spans="1:24">
      <c r="A56" s="1149">
        <v>14</v>
      </c>
      <c r="B56" s="858" t="s">
        <v>70</v>
      </c>
      <c r="C56" s="1130" t="s">
        <v>24</v>
      </c>
      <c r="D56" s="1125">
        <f t="shared" si="0"/>
        <v>7.0250000000000007E-2</v>
      </c>
      <c r="E56" s="781">
        <f t="shared" si="11"/>
        <v>0</v>
      </c>
      <c r="F56" s="688"/>
      <c r="G56" s="688"/>
      <c r="H56" s="1127">
        <f t="shared" si="1"/>
        <v>7.0250000000000007E-2</v>
      </c>
      <c r="I56" s="1134">
        <f>'1 квартал'!I56+'2 квартал'!I56</f>
        <v>7.0250000000000007E-2</v>
      </c>
      <c r="J56" s="1134">
        <f>'1 квартал'!J56+'2 квартал'!J56</f>
        <v>0</v>
      </c>
      <c r="K56" s="1129">
        <f t="shared" si="2"/>
        <v>0</v>
      </c>
      <c r="L56" s="1134">
        <f>'1 квартал'!L56+'2 квартал'!L56</f>
        <v>0</v>
      </c>
      <c r="M56" s="1134">
        <f>'1 квартал'!M56+'2 квартал'!M56</f>
        <v>0</v>
      </c>
      <c r="N56" s="781">
        <f t="shared" si="10"/>
        <v>0</v>
      </c>
      <c r="O56" s="857"/>
      <c r="P56" s="781">
        <f t="shared" si="5"/>
        <v>0</v>
      </c>
      <c r="Q56" s="781"/>
      <c r="R56" s="781">
        <f t="shared" si="6"/>
        <v>0</v>
      </c>
      <c r="S56" s="781"/>
      <c r="T56" s="781"/>
      <c r="U56" s="781">
        <f t="shared" si="7"/>
        <v>0</v>
      </c>
      <c r="V56" s="781"/>
      <c r="W56" s="781">
        <f t="shared" si="12"/>
        <v>0</v>
      </c>
      <c r="X56" s="781"/>
    </row>
    <row r="57" spans="1:24">
      <c r="A57" s="1149"/>
      <c r="B57" s="858" t="s">
        <v>71</v>
      </c>
      <c r="C57" s="1130" t="s">
        <v>21</v>
      </c>
      <c r="D57" s="1125">
        <f t="shared" si="0"/>
        <v>74.986000000000004</v>
      </c>
      <c r="E57" s="781">
        <f t="shared" si="11"/>
        <v>0</v>
      </c>
      <c r="F57" s="688"/>
      <c r="G57" s="688"/>
      <c r="H57" s="1127">
        <f t="shared" si="1"/>
        <v>74.986000000000004</v>
      </c>
      <c r="I57" s="1134">
        <f>'1 квартал'!I57+'2 квартал'!I57</f>
        <v>74.986000000000004</v>
      </c>
      <c r="J57" s="1134">
        <f>'1 квартал'!J57+'2 квартал'!J57</f>
        <v>0</v>
      </c>
      <c r="K57" s="1129">
        <f t="shared" si="2"/>
        <v>0</v>
      </c>
      <c r="L57" s="1134">
        <f>'1 квартал'!L57+'2 квартал'!L57</f>
        <v>0</v>
      </c>
      <c r="M57" s="1134">
        <f>'1 квартал'!M57+'2 квартал'!M57</f>
        <v>0</v>
      </c>
      <c r="N57" s="781">
        <f t="shared" si="10"/>
        <v>0</v>
      </c>
      <c r="O57" s="857"/>
      <c r="P57" s="781">
        <f t="shared" si="5"/>
        <v>0</v>
      </c>
      <c r="Q57" s="781"/>
      <c r="R57" s="781">
        <f t="shared" si="6"/>
        <v>0</v>
      </c>
      <c r="S57" s="781"/>
      <c r="T57" s="781"/>
      <c r="U57" s="781">
        <f t="shared" si="7"/>
        <v>0</v>
      </c>
      <c r="V57" s="781"/>
      <c r="W57" s="781">
        <f t="shared" si="12"/>
        <v>0</v>
      </c>
      <c r="X57" s="781"/>
    </row>
    <row r="58" spans="1:24">
      <c r="A58" s="1149">
        <v>15</v>
      </c>
      <c r="B58" s="858" t="s">
        <v>72</v>
      </c>
      <c r="C58" s="1130" t="s">
        <v>47</v>
      </c>
      <c r="D58" s="1125">
        <f t="shared" si="0"/>
        <v>2</v>
      </c>
      <c r="E58" s="781">
        <f t="shared" si="11"/>
        <v>0</v>
      </c>
      <c r="F58" s="688"/>
      <c r="G58" s="688"/>
      <c r="H58" s="1127">
        <f t="shared" si="1"/>
        <v>2</v>
      </c>
      <c r="I58" s="1134">
        <f>'1 квартал'!I58+'2 квартал'!I58</f>
        <v>2</v>
      </c>
      <c r="J58" s="1134">
        <f>'1 квартал'!J58+'2 квартал'!J58</f>
        <v>0</v>
      </c>
      <c r="K58" s="1129">
        <f t="shared" si="2"/>
        <v>0</v>
      </c>
      <c r="L58" s="1134">
        <f>'1 квартал'!L58+'2 квартал'!L58</f>
        <v>0</v>
      </c>
      <c r="M58" s="1134">
        <f>'1 квартал'!M58+'2 квартал'!M58</f>
        <v>0</v>
      </c>
      <c r="N58" s="781">
        <f t="shared" si="10"/>
        <v>0</v>
      </c>
      <c r="O58" s="857"/>
      <c r="P58" s="781">
        <f t="shared" si="5"/>
        <v>0</v>
      </c>
      <c r="Q58" s="781"/>
      <c r="R58" s="781">
        <f t="shared" si="6"/>
        <v>0</v>
      </c>
      <c r="S58" s="781"/>
      <c r="T58" s="781"/>
      <c r="U58" s="781">
        <f t="shared" si="7"/>
        <v>0</v>
      </c>
      <c r="V58" s="781"/>
      <c r="W58" s="781">
        <f t="shared" si="12"/>
        <v>0</v>
      </c>
      <c r="X58" s="781"/>
    </row>
    <row r="59" spans="1:24">
      <c r="A59" s="1149"/>
      <c r="B59" s="858" t="s">
        <v>73</v>
      </c>
      <c r="C59" s="1130" t="s">
        <v>21</v>
      </c>
      <c r="D59" s="1125">
        <f t="shared" si="0"/>
        <v>4.7679999999999998</v>
      </c>
      <c r="E59" s="781">
        <f t="shared" si="11"/>
        <v>0</v>
      </c>
      <c r="F59" s="688"/>
      <c r="G59" s="688"/>
      <c r="H59" s="1127">
        <f t="shared" si="1"/>
        <v>4.7679999999999998</v>
      </c>
      <c r="I59" s="1134">
        <f>'1 квартал'!I59+'2 квартал'!I59</f>
        <v>4.7679999999999998</v>
      </c>
      <c r="J59" s="1134">
        <f>'1 квартал'!J59+'2 квартал'!J59</f>
        <v>0</v>
      </c>
      <c r="K59" s="1129">
        <f t="shared" si="2"/>
        <v>0</v>
      </c>
      <c r="L59" s="1134">
        <f>'1 квартал'!L59+'2 квартал'!L59</f>
        <v>0</v>
      </c>
      <c r="M59" s="1134">
        <f>'1 квартал'!M59+'2 квартал'!M59</f>
        <v>0</v>
      </c>
      <c r="N59" s="781">
        <f t="shared" si="10"/>
        <v>0</v>
      </c>
      <c r="O59" s="857"/>
      <c r="P59" s="781">
        <f t="shared" si="5"/>
        <v>0</v>
      </c>
      <c r="Q59" s="781"/>
      <c r="R59" s="781">
        <f t="shared" si="6"/>
        <v>0</v>
      </c>
      <c r="S59" s="781"/>
      <c r="T59" s="781"/>
      <c r="U59" s="781">
        <f t="shared" si="7"/>
        <v>0</v>
      </c>
      <c r="V59" s="781"/>
      <c r="W59" s="781">
        <f t="shared" si="12"/>
        <v>0</v>
      </c>
      <c r="X59" s="781"/>
    </row>
    <row r="60" spans="1:24">
      <c r="A60" s="1149">
        <v>16</v>
      </c>
      <c r="B60" s="858" t="s">
        <v>74</v>
      </c>
      <c r="C60" s="1130" t="s">
        <v>47</v>
      </c>
      <c r="D60" s="1125">
        <f t="shared" si="0"/>
        <v>0</v>
      </c>
      <c r="E60" s="781"/>
      <c r="F60" s="688"/>
      <c r="G60" s="688"/>
      <c r="H60" s="1127">
        <f t="shared" si="1"/>
        <v>0</v>
      </c>
      <c r="I60" s="1134">
        <f>'1 квартал'!I60+'2 квартал'!I60</f>
        <v>0</v>
      </c>
      <c r="J60" s="1134">
        <f>'1 квартал'!J60+'2 квартал'!J60</f>
        <v>0</v>
      </c>
      <c r="K60" s="1129">
        <f t="shared" si="2"/>
        <v>0</v>
      </c>
      <c r="L60" s="1134">
        <f>'1 квартал'!L60+'2 квартал'!L60</f>
        <v>0</v>
      </c>
      <c r="M60" s="1134">
        <f>'1 квартал'!M60+'2 квартал'!M60</f>
        <v>0</v>
      </c>
      <c r="N60" s="781">
        <f t="shared" si="10"/>
        <v>0</v>
      </c>
      <c r="O60" s="857"/>
      <c r="P60" s="781">
        <f t="shared" si="5"/>
        <v>0</v>
      </c>
      <c r="Q60" s="781"/>
      <c r="R60" s="781">
        <f t="shared" si="6"/>
        <v>0</v>
      </c>
      <c r="S60" s="781"/>
      <c r="T60" s="781"/>
      <c r="U60" s="781">
        <f t="shared" si="7"/>
        <v>0</v>
      </c>
      <c r="V60" s="781"/>
      <c r="W60" s="781">
        <f t="shared" si="12"/>
        <v>0</v>
      </c>
      <c r="X60" s="781"/>
    </row>
    <row r="61" spans="1:24">
      <c r="A61" s="1149"/>
      <c r="B61" s="858"/>
      <c r="C61" s="1130" t="s">
        <v>21</v>
      </c>
      <c r="D61" s="1125">
        <f t="shared" si="0"/>
        <v>0</v>
      </c>
      <c r="E61" s="781"/>
      <c r="F61" s="688"/>
      <c r="G61" s="688"/>
      <c r="H61" s="1127">
        <f t="shared" si="1"/>
        <v>0</v>
      </c>
      <c r="I61" s="1134">
        <f>'1 квартал'!I61+'2 квартал'!I61</f>
        <v>0</v>
      </c>
      <c r="J61" s="1134">
        <f>'1 квартал'!J61+'2 квартал'!J61</f>
        <v>0</v>
      </c>
      <c r="K61" s="1129">
        <f t="shared" si="2"/>
        <v>0</v>
      </c>
      <c r="L61" s="1134">
        <f>'1 квартал'!L61+'2 квартал'!L61</f>
        <v>0</v>
      </c>
      <c r="M61" s="1134">
        <f>'1 квартал'!M61+'2 квартал'!M61</f>
        <v>0</v>
      </c>
      <c r="N61" s="781">
        <f t="shared" si="10"/>
        <v>0</v>
      </c>
      <c r="O61" s="857"/>
      <c r="P61" s="781">
        <f t="shared" si="5"/>
        <v>0</v>
      </c>
      <c r="Q61" s="781"/>
      <c r="R61" s="781">
        <f t="shared" si="6"/>
        <v>0</v>
      </c>
      <c r="S61" s="781"/>
      <c r="T61" s="781"/>
      <c r="U61" s="781">
        <f t="shared" si="7"/>
        <v>0</v>
      </c>
      <c r="V61" s="781"/>
      <c r="W61" s="781">
        <f t="shared" si="12"/>
        <v>0</v>
      </c>
      <c r="X61" s="781"/>
    </row>
    <row r="62" spans="1:24" ht="126">
      <c r="A62" s="1149">
        <v>17</v>
      </c>
      <c r="B62" s="1151" t="s">
        <v>75</v>
      </c>
      <c r="C62" s="1130" t="s">
        <v>24</v>
      </c>
      <c r="D62" s="1125">
        <f t="shared" si="0"/>
        <v>0</v>
      </c>
      <c r="E62" s="781">
        <v>0</v>
      </c>
      <c r="F62" s="688"/>
      <c r="G62" s="688"/>
      <c r="H62" s="1127">
        <f t="shared" si="1"/>
        <v>0</v>
      </c>
      <c r="I62" s="1134">
        <f>'1 квартал'!I62+'2 квартал'!I62</f>
        <v>0</v>
      </c>
      <c r="J62" s="1134">
        <f>'1 квартал'!J62+'2 квартал'!J62</f>
        <v>0</v>
      </c>
      <c r="K62" s="1129">
        <f t="shared" si="2"/>
        <v>0</v>
      </c>
      <c r="L62" s="1134">
        <f>'1 квартал'!L62+'2 квартал'!L62</f>
        <v>0</v>
      </c>
      <c r="M62" s="1134">
        <f>'1 квартал'!M62+'2 квартал'!M62</f>
        <v>0</v>
      </c>
      <c r="N62" s="781">
        <f t="shared" si="10"/>
        <v>0</v>
      </c>
      <c r="O62" s="857"/>
      <c r="P62" s="781">
        <f t="shared" si="5"/>
        <v>0</v>
      </c>
      <c r="Q62" s="781"/>
      <c r="R62" s="781">
        <f t="shared" si="6"/>
        <v>0</v>
      </c>
      <c r="S62" s="781"/>
      <c r="T62" s="781"/>
      <c r="U62" s="781">
        <f t="shared" si="7"/>
        <v>0</v>
      </c>
      <c r="V62" s="781"/>
      <c r="W62" s="781">
        <f t="shared" si="12"/>
        <v>0</v>
      </c>
      <c r="X62" s="781"/>
    </row>
    <row r="63" spans="1:24">
      <c r="A63" s="1149"/>
      <c r="B63" s="1152"/>
      <c r="C63" s="1130" t="s">
        <v>21</v>
      </c>
      <c r="D63" s="1125">
        <f t="shared" si="0"/>
        <v>0</v>
      </c>
      <c r="E63" s="781">
        <v>0</v>
      </c>
      <c r="F63" s="688"/>
      <c r="G63" s="688"/>
      <c r="H63" s="1127">
        <f t="shared" si="1"/>
        <v>0</v>
      </c>
      <c r="I63" s="1134">
        <f>'1 квартал'!I63+'2 квартал'!I63</f>
        <v>0</v>
      </c>
      <c r="J63" s="1134">
        <f>'1 квартал'!J63+'2 квартал'!J63</f>
        <v>0</v>
      </c>
      <c r="K63" s="1129">
        <f t="shared" si="2"/>
        <v>0</v>
      </c>
      <c r="L63" s="1134">
        <f>'1 квартал'!L63+'2 квартал'!L63</f>
        <v>0</v>
      </c>
      <c r="M63" s="1134">
        <f>'1 квартал'!M63+'2 квартал'!M63</f>
        <v>0</v>
      </c>
      <c r="N63" s="781">
        <f t="shared" si="10"/>
        <v>0</v>
      </c>
      <c r="O63" s="857"/>
      <c r="P63" s="781">
        <f t="shared" si="5"/>
        <v>0</v>
      </c>
      <c r="Q63" s="781"/>
      <c r="R63" s="781">
        <f t="shared" si="6"/>
        <v>0</v>
      </c>
      <c r="S63" s="781"/>
      <c r="T63" s="781"/>
      <c r="U63" s="781">
        <f t="shared" si="7"/>
        <v>0</v>
      </c>
      <c r="V63" s="781"/>
      <c r="W63" s="781">
        <f t="shared" si="12"/>
        <v>0</v>
      </c>
      <c r="X63" s="781"/>
    </row>
    <row r="64" spans="1:24">
      <c r="A64" s="1149">
        <v>18</v>
      </c>
      <c r="B64" s="858" t="s">
        <v>76</v>
      </c>
      <c r="C64" s="1130" t="s">
        <v>47</v>
      </c>
      <c r="D64" s="1125">
        <f t="shared" si="0"/>
        <v>1</v>
      </c>
      <c r="E64" s="781"/>
      <c r="F64" s="688"/>
      <c r="G64" s="688"/>
      <c r="H64" s="1127">
        <f t="shared" si="1"/>
        <v>1</v>
      </c>
      <c r="I64" s="1134">
        <f>'1 квартал'!I64+'2 квартал'!I64+1</f>
        <v>1</v>
      </c>
      <c r="J64" s="1134">
        <f>'1 квартал'!J64+'2 квартал'!J64</f>
        <v>0</v>
      </c>
      <c r="K64" s="1129">
        <f t="shared" si="2"/>
        <v>0</v>
      </c>
      <c r="L64" s="1134">
        <f>'1 квартал'!L64+'2 квартал'!L64</f>
        <v>0</v>
      </c>
      <c r="M64" s="1134">
        <f>'1 квартал'!M64+'2 квартал'!M64</f>
        <v>0</v>
      </c>
      <c r="N64" s="781">
        <f t="shared" si="10"/>
        <v>0</v>
      </c>
      <c r="O64" s="857"/>
      <c r="P64" s="781">
        <f t="shared" si="5"/>
        <v>0</v>
      </c>
      <c r="Q64" s="781"/>
      <c r="R64" s="781">
        <f t="shared" si="6"/>
        <v>0</v>
      </c>
      <c r="S64" s="781"/>
      <c r="T64" s="781"/>
      <c r="U64" s="781">
        <f t="shared" si="7"/>
        <v>0</v>
      </c>
      <c r="V64" s="781"/>
      <c r="W64" s="781">
        <f t="shared" si="12"/>
        <v>0</v>
      </c>
      <c r="X64" s="781"/>
    </row>
    <row r="65" spans="1:24">
      <c r="A65" s="1149"/>
      <c r="B65" s="858"/>
      <c r="C65" s="1130" t="s">
        <v>21</v>
      </c>
      <c r="D65" s="1125">
        <f t="shared" si="0"/>
        <v>13.766999999999999</v>
      </c>
      <c r="E65" s="781"/>
      <c r="F65" s="688"/>
      <c r="G65" s="688"/>
      <c r="H65" s="1127">
        <f t="shared" si="1"/>
        <v>13.766999999999999</v>
      </c>
      <c r="I65" s="1134">
        <f>'1 квартал'!I65+'2 квартал'!I65+13.767</f>
        <v>13.766999999999999</v>
      </c>
      <c r="J65" s="1134">
        <f>'1 квартал'!J65+'2 квартал'!J65</f>
        <v>0</v>
      </c>
      <c r="K65" s="1129">
        <f t="shared" si="2"/>
        <v>0</v>
      </c>
      <c r="L65" s="1134">
        <f>'1 квартал'!L65+'2 квартал'!L65</f>
        <v>0</v>
      </c>
      <c r="M65" s="1134">
        <f>'1 квартал'!M65+'2 квартал'!M65</f>
        <v>0</v>
      </c>
      <c r="N65" s="781">
        <f t="shared" si="10"/>
        <v>0</v>
      </c>
      <c r="O65" s="857"/>
      <c r="P65" s="781">
        <f t="shared" si="5"/>
        <v>0</v>
      </c>
      <c r="Q65" s="781"/>
      <c r="R65" s="781">
        <f t="shared" si="6"/>
        <v>0</v>
      </c>
      <c r="S65" s="781"/>
      <c r="T65" s="781"/>
      <c r="U65" s="781">
        <f t="shared" si="7"/>
        <v>0</v>
      </c>
      <c r="V65" s="781"/>
      <c r="W65" s="781">
        <f t="shared" si="12"/>
        <v>0</v>
      </c>
      <c r="X65" s="781"/>
    </row>
    <row r="66" spans="1:24">
      <c r="A66" s="1149">
        <v>19</v>
      </c>
      <c r="B66" s="858" t="s">
        <v>77</v>
      </c>
      <c r="C66" s="1130" t="s">
        <v>47</v>
      </c>
      <c r="D66" s="1125">
        <f t="shared" si="0"/>
        <v>8</v>
      </c>
      <c r="E66" s="781"/>
      <c r="F66" s="688"/>
      <c r="G66" s="688"/>
      <c r="H66" s="1127">
        <f t="shared" si="1"/>
        <v>8</v>
      </c>
      <c r="I66" s="1134">
        <f>'1 квартал'!I66+'2 квартал'!I66</f>
        <v>8</v>
      </c>
      <c r="J66" s="1134">
        <f>'1 квартал'!J66+'2 квартал'!J66</f>
        <v>0</v>
      </c>
      <c r="K66" s="1129">
        <f t="shared" si="2"/>
        <v>0</v>
      </c>
      <c r="L66" s="1134">
        <f>'1 квартал'!L66+'2 квартал'!L66</f>
        <v>0</v>
      </c>
      <c r="M66" s="1134">
        <f>'1 квартал'!M66+'2 квартал'!M66</f>
        <v>0</v>
      </c>
      <c r="N66" s="781">
        <f t="shared" si="10"/>
        <v>0</v>
      </c>
      <c r="O66" s="857"/>
      <c r="P66" s="781">
        <f t="shared" si="5"/>
        <v>0</v>
      </c>
      <c r="Q66" s="781"/>
      <c r="R66" s="781">
        <f t="shared" si="6"/>
        <v>0</v>
      </c>
      <c r="S66" s="781"/>
      <c r="T66" s="781"/>
      <c r="U66" s="781">
        <f t="shared" si="7"/>
        <v>0</v>
      </c>
      <c r="V66" s="781"/>
      <c r="W66" s="781">
        <f t="shared" si="12"/>
        <v>0</v>
      </c>
      <c r="X66" s="781"/>
    </row>
    <row r="67" spans="1:24">
      <c r="A67" s="1149"/>
      <c r="B67" s="858"/>
      <c r="C67" s="1130" t="s">
        <v>21</v>
      </c>
      <c r="D67" s="1125">
        <f t="shared" si="0"/>
        <v>10.434000000000001</v>
      </c>
      <c r="E67" s="781"/>
      <c r="F67" s="688"/>
      <c r="G67" s="688"/>
      <c r="H67" s="1127">
        <f t="shared" si="1"/>
        <v>10.434000000000001</v>
      </c>
      <c r="I67" s="1134">
        <f>'1 квартал'!I67+'2 квартал'!I67</f>
        <v>10.434000000000001</v>
      </c>
      <c r="J67" s="1134">
        <f>'1 квартал'!J67+'2 квартал'!J67</f>
        <v>0</v>
      </c>
      <c r="K67" s="1129">
        <f t="shared" si="2"/>
        <v>0</v>
      </c>
      <c r="L67" s="1134">
        <f>'1 квартал'!L67+'2 квартал'!L67</f>
        <v>0</v>
      </c>
      <c r="M67" s="1134">
        <f>'1 квартал'!M67+'2 квартал'!M67</f>
        <v>0</v>
      </c>
      <c r="N67" s="781">
        <f t="shared" si="10"/>
        <v>0</v>
      </c>
      <c r="O67" s="857"/>
      <c r="P67" s="781">
        <f t="shared" si="5"/>
        <v>0</v>
      </c>
      <c r="Q67" s="781"/>
      <c r="R67" s="781">
        <f t="shared" si="6"/>
        <v>0</v>
      </c>
      <c r="S67" s="781"/>
      <c r="T67" s="781"/>
      <c r="U67" s="781">
        <f t="shared" si="7"/>
        <v>0</v>
      </c>
      <c r="V67" s="781"/>
      <c r="W67" s="781">
        <f t="shared" si="12"/>
        <v>0</v>
      </c>
      <c r="X67" s="781"/>
    </row>
    <row r="68" spans="1:24" ht="105">
      <c r="A68" s="1149">
        <v>20</v>
      </c>
      <c r="B68" s="1151" t="s">
        <v>78</v>
      </c>
      <c r="C68" s="1130" t="s">
        <v>79</v>
      </c>
      <c r="D68" s="1125">
        <f t="shared" si="0"/>
        <v>0</v>
      </c>
      <c r="E68" s="781">
        <v>0</v>
      </c>
      <c r="F68" s="688"/>
      <c r="G68" s="688"/>
      <c r="H68" s="1127">
        <f t="shared" si="1"/>
        <v>0</v>
      </c>
      <c r="I68" s="1134">
        <f>'1 квартал'!I68+'2 квартал'!I68</f>
        <v>0</v>
      </c>
      <c r="J68" s="1134">
        <f>'1 квартал'!J68+'2 квартал'!J68</f>
        <v>0</v>
      </c>
      <c r="K68" s="1129">
        <f t="shared" si="2"/>
        <v>0</v>
      </c>
      <c r="L68" s="1134">
        <f>'1 квартал'!L68+'2 квартал'!L68</f>
        <v>0</v>
      </c>
      <c r="M68" s="1134">
        <f>'1 квартал'!M68+'2 квартал'!M68</f>
        <v>0</v>
      </c>
      <c r="N68" s="781">
        <f t="shared" si="10"/>
        <v>0</v>
      </c>
      <c r="O68" s="857"/>
      <c r="P68" s="781">
        <f t="shared" si="5"/>
        <v>0</v>
      </c>
      <c r="Q68" s="781"/>
      <c r="R68" s="781">
        <f t="shared" si="6"/>
        <v>0</v>
      </c>
      <c r="S68" s="781"/>
      <c r="T68" s="781"/>
      <c r="U68" s="781">
        <f t="shared" si="7"/>
        <v>0</v>
      </c>
      <c r="V68" s="781"/>
      <c r="W68" s="781">
        <f t="shared" si="12"/>
        <v>0</v>
      </c>
      <c r="X68" s="781"/>
    </row>
    <row r="69" spans="1:24">
      <c r="A69" s="1149"/>
      <c r="B69" s="858"/>
      <c r="C69" s="1130" t="s">
        <v>21</v>
      </c>
      <c r="D69" s="1125">
        <f t="shared" si="0"/>
        <v>0</v>
      </c>
      <c r="E69" s="781">
        <v>0</v>
      </c>
      <c r="F69" s="688"/>
      <c r="G69" s="688"/>
      <c r="H69" s="1127">
        <f t="shared" si="1"/>
        <v>0</v>
      </c>
      <c r="I69" s="1134">
        <f>'1 квартал'!I69+'2 квартал'!I69</f>
        <v>0</v>
      </c>
      <c r="J69" s="1134">
        <f>'1 квартал'!J69+'2 квартал'!J69</f>
        <v>0</v>
      </c>
      <c r="K69" s="1129">
        <f t="shared" si="2"/>
        <v>0</v>
      </c>
      <c r="L69" s="1134">
        <f>'1 квартал'!L69+'2 квартал'!L69</f>
        <v>0</v>
      </c>
      <c r="M69" s="1134">
        <f>'1 квартал'!M69+'2 квартал'!M69</f>
        <v>0</v>
      </c>
      <c r="N69" s="781">
        <f t="shared" si="10"/>
        <v>0</v>
      </c>
      <c r="O69" s="857"/>
      <c r="P69" s="781">
        <f t="shared" si="5"/>
        <v>0</v>
      </c>
      <c r="Q69" s="781"/>
      <c r="R69" s="781">
        <f t="shared" si="6"/>
        <v>0</v>
      </c>
      <c r="S69" s="781"/>
      <c r="T69" s="781"/>
      <c r="U69" s="781">
        <f t="shared" si="7"/>
        <v>0</v>
      </c>
      <c r="V69" s="781"/>
      <c r="W69" s="781">
        <f t="shared" si="12"/>
        <v>0</v>
      </c>
      <c r="X69" s="781"/>
    </row>
    <row r="70" spans="1:24" ht="94.5">
      <c r="A70" s="1149">
        <v>21</v>
      </c>
      <c r="B70" s="1151" t="s">
        <v>80</v>
      </c>
      <c r="C70" s="1130" t="s">
        <v>24</v>
      </c>
      <c r="D70" s="1125">
        <f t="shared" si="0"/>
        <v>0</v>
      </c>
      <c r="E70" s="781"/>
      <c r="F70" s="688"/>
      <c r="G70" s="688"/>
      <c r="H70" s="1127">
        <f t="shared" si="1"/>
        <v>0</v>
      </c>
      <c r="I70" s="1134">
        <f>'1 квартал'!I70+'2 квартал'!I70</f>
        <v>0</v>
      </c>
      <c r="J70" s="1134">
        <f>'1 квартал'!J70+'2 квартал'!J70</f>
        <v>0</v>
      </c>
      <c r="K70" s="1129">
        <f t="shared" si="2"/>
        <v>0</v>
      </c>
      <c r="L70" s="1134">
        <f>'1 квартал'!L70+'2 квартал'!L70</f>
        <v>0</v>
      </c>
      <c r="M70" s="1134">
        <f>'1 квартал'!M70+'2 квартал'!M70</f>
        <v>0</v>
      </c>
      <c r="N70" s="781">
        <f t="shared" si="10"/>
        <v>0</v>
      </c>
      <c r="O70" s="857"/>
      <c r="P70" s="781">
        <f t="shared" si="5"/>
        <v>0</v>
      </c>
      <c r="Q70" s="781"/>
      <c r="R70" s="781">
        <f t="shared" si="6"/>
        <v>0</v>
      </c>
      <c r="S70" s="781"/>
      <c r="T70" s="781"/>
      <c r="U70" s="781">
        <f t="shared" si="7"/>
        <v>0</v>
      </c>
      <c r="V70" s="781"/>
      <c r="W70" s="781">
        <f t="shared" si="12"/>
        <v>0</v>
      </c>
      <c r="X70" s="781"/>
    </row>
    <row r="71" spans="1:24">
      <c r="A71" s="1149"/>
      <c r="B71" s="858"/>
      <c r="C71" s="1130" t="s">
        <v>21</v>
      </c>
      <c r="D71" s="1125">
        <f t="shared" si="0"/>
        <v>0</v>
      </c>
      <c r="E71" s="781"/>
      <c r="F71" s="688"/>
      <c r="G71" s="688"/>
      <c r="H71" s="1127">
        <f t="shared" si="1"/>
        <v>0</v>
      </c>
      <c r="I71" s="1134">
        <f>'1 квартал'!I71+'2 квартал'!I71</f>
        <v>0</v>
      </c>
      <c r="J71" s="1134">
        <f>'1 квартал'!J71+'2 квартал'!J71</f>
        <v>0</v>
      </c>
      <c r="K71" s="1129">
        <f t="shared" si="2"/>
        <v>0</v>
      </c>
      <c r="L71" s="1134">
        <f>'1 квартал'!L71+'2 квартал'!L71</f>
        <v>0</v>
      </c>
      <c r="M71" s="1134">
        <f>'1 квартал'!M71+'2 квартал'!M71</f>
        <v>0</v>
      </c>
      <c r="N71" s="781">
        <f t="shared" si="10"/>
        <v>0</v>
      </c>
      <c r="O71" s="857"/>
      <c r="P71" s="781">
        <f t="shared" si="5"/>
        <v>0</v>
      </c>
      <c r="Q71" s="781"/>
      <c r="R71" s="781">
        <f t="shared" si="6"/>
        <v>0</v>
      </c>
      <c r="S71" s="781"/>
      <c r="T71" s="781"/>
      <c r="U71" s="781">
        <f t="shared" si="7"/>
        <v>0</v>
      </c>
      <c r="V71" s="781"/>
      <c r="W71" s="781">
        <f t="shared" si="12"/>
        <v>0</v>
      </c>
      <c r="X71" s="781"/>
    </row>
    <row r="72" spans="1:24">
      <c r="A72" s="1153" t="s">
        <v>81</v>
      </c>
      <c r="B72" s="1154" t="s">
        <v>82</v>
      </c>
      <c r="C72" s="1155" t="s">
        <v>21</v>
      </c>
      <c r="D72" s="1125">
        <f t="shared" si="0"/>
        <v>5982.1294999999991</v>
      </c>
      <c r="E72" s="1156">
        <f t="shared" ref="E72:X72" si="13">E74+E84+E86</f>
        <v>0</v>
      </c>
      <c r="F72" s="1156">
        <f t="shared" si="13"/>
        <v>0</v>
      </c>
      <c r="G72" s="1156">
        <f t="shared" si="13"/>
        <v>0</v>
      </c>
      <c r="H72" s="1127">
        <f t="shared" si="1"/>
        <v>5623.8369999999995</v>
      </c>
      <c r="I72" s="1157">
        <f>I74+I84+I86</f>
        <v>5623.8369999999995</v>
      </c>
      <c r="J72" s="1158">
        <f>J74+J84+J86</f>
        <v>0</v>
      </c>
      <c r="K72" s="1129">
        <f t="shared" si="2"/>
        <v>358.29250000000002</v>
      </c>
      <c r="L72" s="1157">
        <f t="shared" si="13"/>
        <v>358.29250000000002</v>
      </c>
      <c r="M72" s="1156">
        <f t="shared" si="13"/>
        <v>0</v>
      </c>
      <c r="N72" s="1156">
        <f t="shared" si="13"/>
        <v>0</v>
      </c>
      <c r="O72" s="1156">
        <f t="shared" si="13"/>
        <v>0</v>
      </c>
      <c r="P72" s="1156">
        <f t="shared" si="13"/>
        <v>0</v>
      </c>
      <c r="Q72" s="1156">
        <f t="shared" si="13"/>
        <v>0</v>
      </c>
      <c r="R72" s="1156">
        <f t="shared" si="13"/>
        <v>0</v>
      </c>
      <c r="S72" s="1156">
        <f t="shared" si="13"/>
        <v>0</v>
      </c>
      <c r="T72" s="1156">
        <f t="shared" si="13"/>
        <v>0</v>
      </c>
      <c r="U72" s="1156">
        <f t="shared" si="13"/>
        <v>0</v>
      </c>
      <c r="V72" s="1156">
        <f t="shared" si="13"/>
        <v>0</v>
      </c>
      <c r="W72" s="1156">
        <f t="shared" si="13"/>
        <v>0</v>
      </c>
      <c r="X72" s="1156">
        <f t="shared" si="13"/>
        <v>0</v>
      </c>
    </row>
    <row r="73" spans="1:24">
      <c r="A73" s="1149">
        <v>18</v>
      </c>
      <c r="B73" s="858" t="s">
        <v>83</v>
      </c>
      <c r="C73" s="1130" t="s">
        <v>51</v>
      </c>
      <c r="D73" s="1125">
        <f t="shared" si="0"/>
        <v>3.95655</v>
      </c>
      <c r="E73" s="781">
        <f t="shared" ref="E73:L74" si="14">E75+E77+E79+E81</f>
        <v>0</v>
      </c>
      <c r="F73" s="781">
        <f t="shared" si="14"/>
        <v>0</v>
      </c>
      <c r="G73" s="781">
        <f t="shared" si="14"/>
        <v>0</v>
      </c>
      <c r="H73" s="1127">
        <f t="shared" si="1"/>
        <v>3.6563499999999998</v>
      </c>
      <c r="I73" s="1131">
        <f t="shared" si="14"/>
        <v>3.6563499999999998</v>
      </c>
      <c r="J73" s="1132">
        <f t="shared" si="14"/>
        <v>0</v>
      </c>
      <c r="K73" s="1129">
        <f t="shared" si="2"/>
        <v>0.30020000000000002</v>
      </c>
      <c r="L73" s="1131">
        <f t="shared" si="14"/>
        <v>0.30020000000000002</v>
      </c>
      <c r="M73" s="781">
        <f>M75+M77+M79+M81</f>
        <v>0</v>
      </c>
      <c r="N73" s="781">
        <f t="shared" ref="N73:X74" si="15">N75+N77+N79+N81</f>
        <v>0</v>
      </c>
      <c r="O73" s="781">
        <f t="shared" si="15"/>
        <v>0</v>
      </c>
      <c r="P73" s="781">
        <f t="shared" si="15"/>
        <v>0</v>
      </c>
      <c r="Q73" s="781">
        <f t="shared" si="15"/>
        <v>0</v>
      </c>
      <c r="R73" s="781">
        <f t="shared" si="15"/>
        <v>0</v>
      </c>
      <c r="S73" s="781">
        <f t="shared" si="15"/>
        <v>0</v>
      </c>
      <c r="T73" s="781">
        <f t="shared" si="15"/>
        <v>0</v>
      </c>
      <c r="U73" s="781">
        <f t="shared" si="15"/>
        <v>0</v>
      </c>
      <c r="V73" s="781">
        <f t="shared" si="15"/>
        <v>0</v>
      </c>
      <c r="W73" s="781">
        <f t="shared" si="15"/>
        <v>0</v>
      </c>
      <c r="X73" s="781">
        <f t="shared" si="15"/>
        <v>0</v>
      </c>
    </row>
    <row r="74" spans="1:24">
      <c r="A74" s="856"/>
      <c r="B74" s="858" t="s">
        <v>84</v>
      </c>
      <c r="C74" s="1130" t="s">
        <v>21</v>
      </c>
      <c r="D74" s="1125">
        <f t="shared" si="0"/>
        <v>4631.7414999999992</v>
      </c>
      <c r="E74" s="781">
        <f t="shared" si="14"/>
        <v>0</v>
      </c>
      <c r="F74" s="781">
        <f t="shared" si="14"/>
        <v>0</v>
      </c>
      <c r="G74" s="781">
        <f t="shared" si="14"/>
        <v>0</v>
      </c>
      <c r="H74" s="1127">
        <f t="shared" si="1"/>
        <v>4416.1129999999994</v>
      </c>
      <c r="I74" s="1131">
        <f>I76+I78+I80+I82</f>
        <v>4416.1129999999994</v>
      </c>
      <c r="J74" s="1132">
        <f>J76+J78+J80+J82</f>
        <v>0</v>
      </c>
      <c r="K74" s="1129">
        <f t="shared" si="2"/>
        <v>215.6285</v>
      </c>
      <c r="L74" s="1131">
        <f>L76+L78+L80+L82</f>
        <v>215.6285</v>
      </c>
      <c r="M74" s="781">
        <f>M76+M78+M80+M82</f>
        <v>0</v>
      </c>
      <c r="N74" s="781">
        <f t="shared" si="15"/>
        <v>0</v>
      </c>
      <c r="O74" s="781">
        <f t="shared" si="15"/>
        <v>0</v>
      </c>
      <c r="P74" s="781">
        <f t="shared" si="15"/>
        <v>0</v>
      </c>
      <c r="Q74" s="781">
        <f t="shared" si="15"/>
        <v>0</v>
      </c>
      <c r="R74" s="781">
        <f t="shared" si="15"/>
        <v>0</v>
      </c>
      <c r="S74" s="781">
        <f t="shared" si="15"/>
        <v>0</v>
      </c>
      <c r="T74" s="781">
        <f t="shared" si="15"/>
        <v>0</v>
      </c>
      <c r="U74" s="781">
        <f t="shared" si="15"/>
        <v>0</v>
      </c>
      <c r="V74" s="781">
        <f t="shared" si="15"/>
        <v>0</v>
      </c>
      <c r="W74" s="781">
        <f t="shared" si="15"/>
        <v>0</v>
      </c>
      <c r="X74" s="781">
        <f t="shared" si="15"/>
        <v>0</v>
      </c>
    </row>
    <row r="75" spans="1:24">
      <c r="A75" s="1159" t="s">
        <v>85</v>
      </c>
      <c r="B75" s="856" t="s">
        <v>86</v>
      </c>
      <c r="C75" s="1130" t="s">
        <v>87</v>
      </c>
      <c r="D75" s="1125">
        <f t="shared" si="0"/>
        <v>0.26550000000000001</v>
      </c>
      <c r="E75" s="781">
        <f t="shared" ref="E75:E86" si="16">F75+G75</f>
        <v>0</v>
      </c>
      <c r="F75" s="688"/>
      <c r="G75" s="688"/>
      <c r="H75" s="1127">
        <f t="shared" si="1"/>
        <v>0.23799999999999999</v>
      </c>
      <c r="I75" s="1134">
        <f>'1 квартал'!I75+'2 квартал'!I75+0.008</f>
        <v>0.23799999999999999</v>
      </c>
      <c r="J75" s="1134">
        <f>'1 квартал'!J75+'2 квартал'!J75</f>
        <v>0</v>
      </c>
      <c r="K75" s="1129">
        <f t="shared" si="2"/>
        <v>2.75E-2</v>
      </c>
      <c r="L75" s="1134">
        <f>'1 квартал'!L75+'2 квартал'!L75+0.008</f>
        <v>2.75E-2</v>
      </c>
      <c r="M75" s="1134">
        <f>'1 квартал'!M75+'2 квартал'!M75</f>
        <v>0</v>
      </c>
      <c r="N75" s="781">
        <f t="shared" ref="N75:N86" si="17">O75</f>
        <v>0</v>
      </c>
      <c r="O75" s="857"/>
      <c r="P75" s="781">
        <f t="shared" ref="P75:P86" si="18">Q75</f>
        <v>0</v>
      </c>
      <c r="Q75" s="781"/>
      <c r="R75" s="781">
        <f t="shared" ref="R75:R86" si="19">S75+T75</f>
        <v>0</v>
      </c>
      <c r="S75" s="781"/>
      <c r="T75" s="781"/>
      <c r="U75" s="781">
        <f t="shared" ref="U75:U86" si="20">V75</f>
        <v>0</v>
      </c>
      <c r="V75" s="781"/>
      <c r="W75" s="781">
        <f t="shared" ref="W75:W86" si="21">X75</f>
        <v>0</v>
      </c>
      <c r="X75" s="781"/>
    </row>
    <row r="76" spans="1:24">
      <c r="A76" s="856"/>
      <c r="B76" s="856"/>
      <c r="C76" s="1130" t="s">
        <v>21</v>
      </c>
      <c r="D76" s="1125">
        <f t="shared" si="0"/>
        <v>215.29800000000003</v>
      </c>
      <c r="E76" s="781">
        <f t="shared" si="16"/>
        <v>0</v>
      </c>
      <c r="F76" s="688"/>
      <c r="G76" s="688"/>
      <c r="H76" s="1127">
        <f t="shared" si="1"/>
        <v>193.61800000000002</v>
      </c>
      <c r="I76" s="1134">
        <f>'1 квартал'!I76+'2 квартал'!I76+8.506</f>
        <v>193.61800000000002</v>
      </c>
      <c r="J76" s="1134">
        <f>'1 квартал'!J76+'2 квартал'!J76</f>
        <v>0</v>
      </c>
      <c r="K76" s="1129">
        <f t="shared" si="2"/>
        <v>21.68</v>
      </c>
      <c r="L76" s="1134">
        <f>12.896+8.784</f>
        <v>21.68</v>
      </c>
      <c r="M76" s="1134">
        <f>'1 квартал'!M76+'2 квартал'!M76</f>
        <v>0</v>
      </c>
      <c r="N76" s="781">
        <f t="shared" si="17"/>
        <v>0</v>
      </c>
      <c r="O76" s="857"/>
      <c r="P76" s="781">
        <f t="shared" si="18"/>
        <v>0</v>
      </c>
      <c r="Q76" s="781"/>
      <c r="R76" s="781">
        <f t="shared" si="19"/>
        <v>0</v>
      </c>
      <c r="S76" s="781"/>
      <c r="T76" s="781"/>
      <c r="U76" s="781">
        <f t="shared" si="20"/>
        <v>0</v>
      </c>
      <c r="V76" s="781"/>
      <c r="W76" s="781">
        <f t="shared" si="21"/>
        <v>0</v>
      </c>
      <c r="X76" s="781"/>
    </row>
    <row r="77" spans="1:24">
      <c r="A77" s="1159" t="s">
        <v>88</v>
      </c>
      <c r="B77" s="856" t="s">
        <v>89</v>
      </c>
      <c r="C77" s="1130" t="s">
        <v>51</v>
      </c>
      <c r="D77" s="1125">
        <f t="shared" ref="D77:D97" si="22">H77+K77</f>
        <v>0.95430000000000004</v>
      </c>
      <c r="E77" s="781">
        <f t="shared" si="16"/>
        <v>0</v>
      </c>
      <c r="F77" s="688"/>
      <c r="G77" s="688"/>
      <c r="H77" s="1127">
        <f t="shared" si="1"/>
        <v>0.84650000000000003</v>
      </c>
      <c r="I77" s="1134">
        <f>'1 квартал'!I77+'2 квартал'!I77</f>
        <v>0.84650000000000003</v>
      </c>
      <c r="J77" s="1134">
        <f>'1 квартал'!J77+'2 квартал'!J77</f>
        <v>0</v>
      </c>
      <c r="K77" s="1129">
        <f t="shared" si="2"/>
        <v>0.10780000000000001</v>
      </c>
      <c r="L77" s="1134">
        <f>'1 квартал'!L77+'2 квартал'!L77+0.021</f>
        <v>0.10780000000000001</v>
      </c>
      <c r="M77" s="1134">
        <f>'1 квартал'!M77+'2 квартал'!M77</f>
        <v>0</v>
      </c>
      <c r="N77" s="781">
        <f t="shared" si="17"/>
        <v>0</v>
      </c>
      <c r="O77" s="857"/>
      <c r="P77" s="781">
        <f t="shared" si="18"/>
        <v>0</v>
      </c>
      <c r="Q77" s="781"/>
      <c r="R77" s="781">
        <f t="shared" si="19"/>
        <v>0</v>
      </c>
      <c r="S77" s="781"/>
      <c r="T77" s="781"/>
      <c r="U77" s="781">
        <f t="shared" si="20"/>
        <v>0</v>
      </c>
      <c r="V77" s="781"/>
      <c r="W77" s="781">
        <f t="shared" si="21"/>
        <v>0</v>
      </c>
      <c r="X77" s="781"/>
    </row>
    <row r="78" spans="1:24">
      <c r="A78" s="856"/>
      <c r="B78" s="856"/>
      <c r="C78" s="1130" t="s">
        <v>21</v>
      </c>
      <c r="D78" s="1125">
        <f t="shared" si="22"/>
        <v>798.13400000000001</v>
      </c>
      <c r="E78" s="781">
        <f t="shared" si="16"/>
        <v>0</v>
      </c>
      <c r="F78" s="688"/>
      <c r="G78" s="688"/>
      <c r="H78" s="1127">
        <f t="shared" ref="H78:H97" si="23">I78+J78</f>
        <v>717.18200000000002</v>
      </c>
      <c r="I78" s="1134">
        <f>'1 квартал'!I78+'2 квартал'!I78</f>
        <v>717.18200000000002</v>
      </c>
      <c r="J78" s="1134">
        <f>'1 квартал'!J78+'2 квартал'!J78</f>
        <v>0</v>
      </c>
      <c r="K78" s="1129">
        <f t="shared" ref="K78:K97" si="24">L78+M78</f>
        <v>80.951999999999998</v>
      </c>
      <c r="L78" s="1134">
        <f>'1 квартал'!L78+'2 квартал'!L78+15.139</f>
        <v>80.951999999999998</v>
      </c>
      <c r="M78" s="1134">
        <f>'1 квартал'!M78+'2 квартал'!M78</f>
        <v>0</v>
      </c>
      <c r="N78" s="781">
        <f t="shared" si="17"/>
        <v>0</v>
      </c>
      <c r="O78" s="857"/>
      <c r="P78" s="781">
        <f t="shared" si="18"/>
        <v>0</v>
      </c>
      <c r="Q78" s="781"/>
      <c r="R78" s="781">
        <f t="shared" si="19"/>
        <v>0</v>
      </c>
      <c r="S78" s="781"/>
      <c r="T78" s="781"/>
      <c r="U78" s="781">
        <f t="shared" si="20"/>
        <v>0</v>
      </c>
      <c r="V78" s="781"/>
      <c r="W78" s="781">
        <f t="shared" si="21"/>
        <v>0</v>
      </c>
      <c r="X78" s="781"/>
    </row>
    <row r="79" spans="1:24">
      <c r="A79" s="1159" t="s">
        <v>90</v>
      </c>
      <c r="B79" s="856" t="s">
        <v>91</v>
      </c>
      <c r="C79" s="1130" t="s">
        <v>51</v>
      </c>
      <c r="D79" s="1125">
        <f t="shared" si="22"/>
        <v>1.4414999999999998</v>
      </c>
      <c r="E79" s="781">
        <f t="shared" si="16"/>
        <v>0</v>
      </c>
      <c r="F79" s="688"/>
      <c r="G79" s="688"/>
      <c r="H79" s="1127">
        <f t="shared" si="23"/>
        <v>1.3393999999999997</v>
      </c>
      <c r="I79" s="1134">
        <f>'1 квартал'!I79+'2 квартал'!I79+0.204+0.305</f>
        <v>1.3393999999999997</v>
      </c>
      <c r="J79" s="1134">
        <f>'1 квартал'!J79+'2 квартал'!J79</f>
        <v>0</v>
      </c>
      <c r="K79" s="1129">
        <f t="shared" si="24"/>
        <v>0.1021</v>
      </c>
      <c r="L79" s="1134">
        <f>'1 квартал'!L79+'2 квартал'!L79+0.063</f>
        <v>0.1021</v>
      </c>
      <c r="M79" s="1134">
        <f>'1 квартал'!M79+'2 квартал'!M79</f>
        <v>0</v>
      </c>
      <c r="N79" s="781">
        <f t="shared" si="17"/>
        <v>0</v>
      </c>
      <c r="O79" s="857"/>
      <c r="P79" s="781">
        <f t="shared" si="18"/>
        <v>0</v>
      </c>
      <c r="Q79" s="781"/>
      <c r="R79" s="781">
        <f t="shared" si="19"/>
        <v>0</v>
      </c>
      <c r="S79" s="781"/>
      <c r="T79" s="781"/>
      <c r="U79" s="781">
        <f t="shared" si="20"/>
        <v>0</v>
      </c>
      <c r="V79" s="781"/>
      <c r="W79" s="781">
        <f t="shared" si="21"/>
        <v>0</v>
      </c>
      <c r="X79" s="781"/>
    </row>
    <row r="80" spans="1:24">
      <c r="A80" s="856"/>
      <c r="B80" s="856"/>
      <c r="C80" s="1130" t="s">
        <v>21</v>
      </c>
      <c r="D80" s="1125">
        <f t="shared" si="22"/>
        <v>1327.2809999999999</v>
      </c>
      <c r="E80" s="781">
        <f t="shared" si="16"/>
        <v>0</v>
      </c>
      <c r="F80" s="688"/>
      <c r="G80" s="688"/>
      <c r="H80" s="1127">
        <f t="shared" si="23"/>
        <v>1291.7949999999998</v>
      </c>
      <c r="I80" s="1134">
        <f>'1 квартал'!I80+'2 квартал'!I80+220.102+312.309</f>
        <v>1291.7949999999998</v>
      </c>
      <c r="J80" s="1134">
        <f>'1 квартал'!J80+'2 квартал'!J80</f>
        <v>0</v>
      </c>
      <c r="K80" s="1129">
        <f t="shared" si="24"/>
        <v>35.485999999999997</v>
      </c>
      <c r="L80" s="1134">
        <f>'1 квартал'!L80+'2 квартал'!L80+7.99</f>
        <v>35.485999999999997</v>
      </c>
      <c r="M80" s="1134">
        <f>'1 квартал'!M80+'2 квартал'!M80</f>
        <v>0</v>
      </c>
      <c r="N80" s="781">
        <f t="shared" si="17"/>
        <v>0</v>
      </c>
      <c r="O80" s="857"/>
      <c r="P80" s="781">
        <f t="shared" si="18"/>
        <v>0</v>
      </c>
      <c r="Q80" s="781"/>
      <c r="R80" s="781">
        <f t="shared" si="19"/>
        <v>0</v>
      </c>
      <c r="S80" s="781"/>
      <c r="T80" s="781"/>
      <c r="U80" s="781">
        <f t="shared" si="20"/>
        <v>0</v>
      </c>
      <c r="V80" s="781"/>
      <c r="W80" s="781">
        <f t="shared" si="21"/>
        <v>0</v>
      </c>
      <c r="X80" s="781"/>
    </row>
    <row r="81" spans="1:24">
      <c r="A81" s="1159" t="s">
        <v>92</v>
      </c>
      <c r="B81" s="856" t="s">
        <v>93</v>
      </c>
      <c r="C81" s="1130" t="s">
        <v>51</v>
      </c>
      <c r="D81" s="1125">
        <f t="shared" si="22"/>
        <v>1.29525</v>
      </c>
      <c r="E81" s="781">
        <f t="shared" si="16"/>
        <v>0</v>
      </c>
      <c r="F81" s="688"/>
      <c r="G81" s="688"/>
      <c r="H81" s="1127">
        <f t="shared" si="23"/>
        <v>1.23245</v>
      </c>
      <c r="I81" s="1134">
        <f>'1 квартал'!I81+'2 квартал'!I81+0.306</f>
        <v>1.23245</v>
      </c>
      <c r="J81" s="1134">
        <f>'1 квартал'!J81+'2 квартал'!J81</f>
        <v>0</v>
      </c>
      <c r="K81" s="1129">
        <f t="shared" si="24"/>
        <v>6.2799999999999995E-2</v>
      </c>
      <c r="L81" s="1134">
        <f>'1 квартал'!L81+'2 квартал'!L81+0.03</f>
        <v>6.2799999999999995E-2</v>
      </c>
      <c r="M81" s="1134">
        <f>'1 квартал'!M81+'2 квартал'!M81</f>
        <v>0</v>
      </c>
      <c r="N81" s="781">
        <f t="shared" si="17"/>
        <v>0</v>
      </c>
      <c r="O81" s="857"/>
      <c r="P81" s="781">
        <f t="shared" si="18"/>
        <v>0</v>
      </c>
      <c r="Q81" s="781"/>
      <c r="R81" s="781">
        <f t="shared" si="19"/>
        <v>0</v>
      </c>
      <c r="S81" s="781"/>
      <c r="T81" s="781"/>
      <c r="U81" s="781">
        <f t="shared" si="20"/>
        <v>0</v>
      </c>
      <c r="V81" s="781"/>
      <c r="W81" s="781">
        <f t="shared" si="21"/>
        <v>0</v>
      </c>
      <c r="X81" s="781"/>
    </row>
    <row r="82" spans="1:24">
      <c r="A82" s="856"/>
      <c r="B82" s="856"/>
      <c r="C82" s="1130" t="s">
        <v>21</v>
      </c>
      <c r="D82" s="1125">
        <f t="shared" si="22"/>
        <v>2291.0284999999999</v>
      </c>
      <c r="E82" s="781">
        <f t="shared" si="16"/>
        <v>0</v>
      </c>
      <c r="F82" s="688"/>
      <c r="G82" s="688"/>
      <c r="H82" s="1127">
        <f t="shared" si="23"/>
        <v>2213.518</v>
      </c>
      <c r="I82" s="1134">
        <f>'1 квартал'!I82+'2 квартал'!I82+446.942</f>
        <v>2213.518</v>
      </c>
      <c r="J82" s="1134">
        <f>'1 квартал'!J82+'2 квартал'!J82</f>
        <v>0</v>
      </c>
      <c r="K82" s="1129">
        <f t="shared" si="24"/>
        <v>77.510500000000008</v>
      </c>
      <c r="L82" s="1134">
        <f>'1 квартал'!L82+'2 квартал'!L82+30.689</f>
        <v>77.510500000000008</v>
      </c>
      <c r="M82" s="1134">
        <f>'1 квартал'!M82+'2 квартал'!M82</f>
        <v>0</v>
      </c>
      <c r="N82" s="781">
        <f t="shared" si="17"/>
        <v>0</v>
      </c>
      <c r="O82" s="857"/>
      <c r="P82" s="781">
        <f t="shared" si="18"/>
        <v>0</v>
      </c>
      <c r="Q82" s="781"/>
      <c r="R82" s="781">
        <f t="shared" si="19"/>
        <v>0</v>
      </c>
      <c r="S82" s="781"/>
      <c r="T82" s="781"/>
      <c r="U82" s="781">
        <f t="shared" si="20"/>
        <v>0</v>
      </c>
      <c r="V82" s="781"/>
      <c r="W82" s="781">
        <f t="shared" si="21"/>
        <v>0</v>
      </c>
      <c r="X82" s="781"/>
    </row>
    <row r="83" spans="1:24">
      <c r="A83" s="1149">
        <v>19</v>
      </c>
      <c r="B83" s="858" t="s">
        <v>94</v>
      </c>
      <c r="C83" s="1130" t="s">
        <v>47</v>
      </c>
      <c r="D83" s="1125">
        <f t="shared" si="22"/>
        <v>100</v>
      </c>
      <c r="E83" s="781">
        <f t="shared" si="16"/>
        <v>0</v>
      </c>
      <c r="F83" s="688"/>
      <c r="G83" s="688"/>
      <c r="H83" s="1127">
        <f t="shared" si="23"/>
        <v>87</v>
      </c>
      <c r="I83" s="1134">
        <f>'1 квартал'!I83+'2 квартал'!I83+10</f>
        <v>87</v>
      </c>
      <c r="J83" s="1134">
        <f>'1 квартал'!J83+'2 квартал'!J83</f>
        <v>0</v>
      </c>
      <c r="K83" s="1129">
        <f t="shared" si="24"/>
        <v>13</v>
      </c>
      <c r="L83" s="1134">
        <f>'1 квартал'!L83+'2 квартал'!L83</f>
        <v>13</v>
      </c>
      <c r="M83" s="1134">
        <f>'1 квартал'!M83+'2 квартал'!M83</f>
        <v>0</v>
      </c>
      <c r="N83" s="781">
        <f t="shared" si="17"/>
        <v>0</v>
      </c>
      <c r="O83" s="857"/>
      <c r="P83" s="781">
        <f t="shared" si="18"/>
        <v>0</v>
      </c>
      <c r="Q83" s="781"/>
      <c r="R83" s="781">
        <f t="shared" si="19"/>
        <v>0</v>
      </c>
      <c r="S83" s="781"/>
      <c r="T83" s="781"/>
      <c r="U83" s="781">
        <f t="shared" si="20"/>
        <v>0</v>
      </c>
      <c r="V83" s="781"/>
      <c r="W83" s="781">
        <f t="shared" si="21"/>
        <v>0</v>
      </c>
      <c r="X83" s="781"/>
    </row>
    <row r="84" spans="1:24">
      <c r="A84" s="856"/>
      <c r="B84" s="856"/>
      <c r="C84" s="1130" t="s">
        <v>21</v>
      </c>
      <c r="D84" s="1125">
        <f t="shared" si="22"/>
        <v>609.11900000000003</v>
      </c>
      <c r="E84" s="781">
        <f t="shared" si="16"/>
        <v>0</v>
      </c>
      <c r="F84" s="688"/>
      <c r="G84" s="688"/>
      <c r="H84" s="1127">
        <f t="shared" si="23"/>
        <v>530.673</v>
      </c>
      <c r="I84" s="1134">
        <f>'1 квартал'!I84+'2 квартал'!I84+57.098</f>
        <v>530.673</v>
      </c>
      <c r="J84" s="1134">
        <f>'1 квартал'!J84+'2 квартал'!J84</f>
        <v>0</v>
      </c>
      <c r="K84" s="1129">
        <f t="shared" si="24"/>
        <v>78.446000000000012</v>
      </c>
      <c r="L84" s="1134">
        <f>'1 квартал'!L84+'2 квартал'!L84</f>
        <v>78.446000000000012</v>
      </c>
      <c r="M84" s="1134">
        <f>'1 квартал'!M84+'2 квартал'!M84</f>
        <v>0</v>
      </c>
      <c r="N84" s="781">
        <f t="shared" si="17"/>
        <v>0</v>
      </c>
      <c r="O84" s="857"/>
      <c r="P84" s="781">
        <f t="shared" si="18"/>
        <v>0</v>
      </c>
      <c r="Q84" s="781"/>
      <c r="R84" s="781">
        <f t="shared" si="19"/>
        <v>0</v>
      </c>
      <c r="S84" s="781"/>
      <c r="T84" s="781"/>
      <c r="U84" s="781">
        <f t="shared" si="20"/>
        <v>0</v>
      </c>
      <c r="V84" s="781"/>
      <c r="W84" s="781">
        <f t="shared" si="21"/>
        <v>0</v>
      </c>
      <c r="X84" s="781"/>
    </row>
    <row r="85" spans="1:24">
      <c r="A85" s="856" t="s">
        <v>95</v>
      </c>
      <c r="B85" s="858" t="s">
        <v>197</v>
      </c>
      <c r="C85" s="1130" t="s">
        <v>47</v>
      </c>
      <c r="D85" s="1125">
        <f t="shared" si="22"/>
        <v>625</v>
      </c>
      <c r="E85" s="781">
        <f t="shared" si="16"/>
        <v>0</v>
      </c>
      <c r="F85" s="688"/>
      <c r="G85" s="688"/>
      <c r="H85" s="1127">
        <f t="shared" si="23"/>
        <v>593</v>
      </c>
      <c r="I85" s="1134">
        <f>'1 квартал'!I85+'2 квартал'!I85+150</f>
        <v>593</v>
      </c>
      <c r="J85" s="1134">
        <f>'1 квартал'!J85+'2 квартал'!J85</f>
        <v>0</v>
      </c>
      <c r="K85" s="1129">
        <f t="shared" si="24"/>
        <v>32</v>
      </c>
      <c r="L85" s="1134">
        <f>'1 квартал'!L85+'2 квартал'!L85+9</f>
        <v>32</v>
      </c>
      <c r="M85" s="1134">
        <f>'1 квартал'!M85+'2 квартал'!M85</f>
        <v>0</v>
      </c>
      <c r="N85" s="781">
        <f t="shared" si="17"/>
        <v>0</v>
      </c>
      <c r="O85" s="857"/>
      <c r="P85" s="781">
        <f t="shared" si="18"/>
        <v>0</v>
      </c>
      <c r="Q85" s="781"/>
      <c r="R85" s="781">
        <f t="shared" si="19"/>
        <v>0</v>
      </c>
      <c r="S85" s="781"/>
      <c r="T85" s="781"/>
      <c r="U85" s="781">
        <f t="shared" si="20"/>
        <v>0</v>
      </c>
      <c r="V85" s="781"/>
      <c r="W85" s="781">
        <f t="shared" si="21"/>
        <v>0</v>
      </c>
      <c r="X85" s="781"/>
    </row>
    <row r="86" spans="1:24">
      <c r="A86" s="1160"/>
      <c r="B86" s="858" t="s">
        <v>97</v>
      </c>
      <c r="C86" s="1130" t="s">
        <v>21</v>
      </c>
      <c r="D86" s="1125">
        <f t="shared" si="22"/>
        <v>741.26899999999989</v>
      </c>
      <c r="E86" s="781">
        <f t="shared" si="16"/>
        <v>0</v>
      </c>
      <c r="F86" s="688"/>
      <c r="G86" s="688"/>
      <c r="H86" s="1127">
        <f t="shared" si="23"/>
        <v>677.05099999999993</v>
      </c>
      <c r="I86" s="1134">
        <f>'1 квартал'!I86+'2 квартал'!I86+273.921</f>
        <v>677.05099999999993</v>
      </c>
      <c r="J86" s="1134">
        <f>'1 квартал'!J86+'2 квартал'!J86</f>
        <v>0</v>
      </c>
      <c r="K86" s="1129">
        <f t="shared" si="24"/>
        <v>64.218000000000004</v>
      </c>
      <c r="L86" s="1134">
        <f>'1 квартал'!L86+'2 квартал'!L86+47.758</f>
        <v>64.218000000000004</v>
      </c>
      <c r="M86" s="1134">
        <f>'1 квартал'!M86+'2 квартал'!M86</f>
        <v>0</v>
      </c>
      <c r="N86" s="781">
        <f t="shared" si="17"/>
        <v>0</v>
      </c>
      <c r="O86" s="857"/>
      <c r="P86" s="781">
        <f t="shared" si="18"/>
        <v>0</v>
      </c>
      <c r="Q86" s="781"/>
      <c r="R86" s="781">
        <f t="shared" si="19"/>
        <v>0</v>
      </c>
      <c r="S86" s="781"/>
      <c r="T86" s="781"/>
      <c r="U86" s="781">
        <f t="shared" si="20"/>
        <v>0</v>
      </c>
      <c r="V86" s="781"/>
      <c r="W86" s="781">
        <f t="shared" si="21"/>
        <v>0</v>
      </c>
      <c r="X86" s="781"/>
    </row>
    <row r="87" spans="1:24">
      <c r="A87" s="1153" t="s">
        <v>98</v>
      </c>
      <c r="B87" s="1154" t="s">
        <v>99</v>
      </c>
      <c r="C87" s="1155" t="s">
        <v>21</v>
      </c>
      <c r="D87" s="1125">
        <f t="shared" si="22"/>
        <v>2679.5059999999994</v>
      </c>
      <c r="E87" s="1156">
        <f t="shared" ref="E87:X87" si="25">E89+E91+E93</f>
        <v>0</v>
      </c>
      <c r="F87" s="1156">
        <f t="shared" si="25"/>
        <v>0</v>
      </c>
      <c r="G87" s="1156">
        <f t="shared" si="25"/>
        <v>0</v>
      </c>
      <c r="H87" s="1127">
        <f>I87+J87</f>
        <v>2607.5529999999994</v>
      </c>
      <c r="I87" s="1157">
        <f t="shared" si="25"/>
        <v>2607.5529999999994</v>
      </c>
      <c r="J87" s="1158">
        <f t="shared" si="25"/>
        <v>0</v>
      </c>
      <c r="K87" s="1129">
        <f>L87+M87</f>
        <v>71.953000000000003</v>
      </c>
      <c r="L87" s="1157">
        <f>L89+L91+L93</f>
        <v>71.953000000000003</v>
      </c>
      <c r="M87" s="1156">
        <f t="shared" si="25"/>
        <v>0</v>
      </c>
      <c r="N87" s="1156">
        <f t="shared" si="25"/>
        <v>0</v>
      </c>
      <c r="O87" s="1156">
        <f t="shared" si="25"/>
        <v>0</v>
      </c>
      <c r="P87" s="1156">
        <f t="shared" si="25"/>
        <v>0</v>
      </c>
      <c r="Q87" s="1156">
        <f t="shared" si="25"/>
        <v>0</v>
      </c>
      <c r="R87" s="1156">
        <f t="shared" si="25"/>
        <v>0</v>
      </c>
      <c r="S87" s="1156">
        <f t="shared" si="25"/>
        <v>0</v>
      </c>
      <c r="T87" s="1156">
        <f t="shared" si="25"/>
        <v>0</v>
      </c>
      <c r="U87" s="1156">
        <f t="shared" si="25"/>
        <v>0</v>
      </c>
      <c r="V87" s="1156">
        <f t="shared" si="25"/>
        <v>0</v>
      </c>
      <c r="W87" s="1156">
        <f t="shared" si="25"/>
        <v>0</v>
      </c>
      <c r="X87" s="1156">
        <f t="shared" si="25"/>
        <v>0</v>
      </c>
    </row>
    <row r="88" spans="1:24">
      <c r="A88" s="1149">
        <v>20</v>
      </c>
      <c r="B88" s="858" t="s">
        <v>100</v>
      </c>
      <c r="C88" s="1130" t="s">
        <v>51</v>
      </c>
      <c r="D88" s="1125">
        <f t="shared" si="22"/>
        <v>1.9620000000000002</v>
      </c>
      <c r="E88" s="781">
        <f>F88+G88</f>
        <v>0</v>
      </c>
      <c r="F88" s="688"/>
      <c r="G88" s="688"/>
      <c r="H88" s="1127">
        <f t="shared" si="23"/>
        <v>1.8960000000000001</v>
      </c>
      <c r="I88" s="1161">
        <f>'1 квартал'!I88+'2 квартал'!I88+0.035</f>
        <v>1.8960000000000001</v>
      </c>
      <c r="J88" s="1161">
        <f>'1 квартал'!J88+'2 квартал'!J88</f>
        <v>0</v>
      </c>
      <c r="K88" s="1129">
        <f t="shared" si="24"/>
        <v>6.6000000000000003E-2</v>
      </c>
      <c r="L88" s="1134">
        <f>'1 квартал'!L88+'2 квартал'!L88</f>
        <v>6.6000000000000003E-2</v>
      </c>
      <c r="M88" s="1134">
        <f>'1 квартал'!M88+'2 квартал'!M88</f>
        <v>0</v>
      </c>
      <c r="N88" s="781">
        <f t="shared" ref="N88:N93" si="26">O88</f>
        <v>0</v>
      </c>
      <c r="O88" s="856"/>
      <c r="P88" s="781">
        <f t="shared" ref="P88:P93" si="27">Q88</f>
        <v>0</v>
      </c>
      <c r="Q88" s="781"/>
      <c r="R88" s="781">
        <f t="shared" ref="R88:R93" si="28">S88+T88</f>
        <v>0</v>
      </c>
      <c r="S88" s="781"/>
      <c r="T88" s="781"/>
      <c r="U88" s="781">
        <f t="shared" ref="U88:U93" si="29">V88</f>
        <v>0</v>
      </c>
      <c r="V88" s="781"/>
      <c r="W88" s="781">
        <f t="shared" ref="W88:W93" si="30">X88</f>
        <v>0</v>
      </c>
      <c r="X88" s="781"/>
    </row>
    <row r="89" spans="1:24">
      <c r="A89" s="1162"/>
      <c r="B89" s="858" t="s">
        <v>101</v>
      </c>
      <c r="C89" s="1130" t="s">
        <v>21</v>
      </c>
      <c r="D89" s="1125">
        <f t="shared" si="22"/>
        <v>351.51399999999995</v>
      </c>
      <c r="E89" s="781">
        <f>F89+G89</f>
        <v>0</v>
      </c>
      <c r="F89" s="688"/>
      <c r="G89" s="688"/>
      <c r="H89" s="1127">
        <f t="shared" si="23"/>
        <v>344.56699999999995</v>
      </c>
      <c r="I89" s="1161">
        <f>'1 квартал'!I89+'2 квартал'!I89+7.618</f>
        <v>344.56699999999995</v>
      </c>
      <c r="J89" s="1161">
        <f>'1 квартал'!J89+'2 квартал'!J89</f>
        <v>0</v>
      </c>
      <c r="K89" s="1129">
        <f t="shared" si="24"/>
        <v>6.9470000000000001</v>
      </c>
      <c r="L89" s="1134">
        <f>'1 квартал'!L89+'2 квартал'!L89</f>
        <v>6.9470000000000001</v>
      </c>
      <c r="M89" s="1134">
        <f>'1 квартал'!M89+'2 квартал'!M89</f>
        <v>0</v>
      </c>
      <c r="N89" s="781">
        <f t="shared" si="26"/>
        <v>0</v>
      </c>
      <c r="O89" s="856"/>
      <c r="P89" s="781">
        <f t="shared" si="27"/>
        <v>0</v>
      </c>
      <c r="Q89" s="781"/>
      <c r="R89" s="781">
        <f t="shared" si="28"/>
        <v>0</v>
      </c>
      <c r="S89" s="781"/>
      <c r="T89" s="781"/>
      <c r="U89" s="781">
        <f t="shared" si="29"/>
        <v>0</v>
      </c>
      <c r="V89" s="781"/>
      <c r="W89" s="781">
        <f t="shared" si="30"/>
        <v>0</v>
      </c>
      <c r="X89" s="781"/>
    </row>
    <row r="90" spans="1:24">
      <c r="A90" s="1149">
        <v>21</v>
      </c>
      <c r="B90" s="858" t="s">
        <v>102</v>
      </c>
      <c r="C90" s="1130" t="s">
        <v>47</v>
      </c>
      <c r="D90" s="1125">
        <f t="shared" si="22"/>
        <v>1975</v>
      </c>
      <c r="E90" s="781">
        <v>0</v>
      </c>
      <c r="F90" s="688"/>
      <c r="G90" s="688"/>
      <c r="H90" s="1127">
        <f>I90+J91</f>
        <v>1911</v>
      </c>
      <c r="I90" s="1161">
        <f>'1 квартал'!I90+'2 квартал'!I90+127</f>
        <v>1911</v>
      </c>
      <c r="J90" s="1161">
        <f>'1 квартал'!J90+'2 квартал'!J90</f>
        <v>0</v>
      </c>
      <c r="K90" s="1129">
        <f t="shared" si="24"/>
        <v>64</v>
      </c>
      <c r="L90" s="1134">
        <f>'1 квартал'!L90+'2 квартал'!L90+5</f>
        <v>64</v>
      </c>
      <c r="M90" s="1134">
        <f>'1 квартал'!M90+'2 квартал'!M90</f>
        <v>0</v>
      </c>
      <c r="N90" s="781">
        <f t="shared" si="26"/>
        <v>0</v>
      </c>
      <c r="O90" s="856"/>
      <c r="P90" s="781">
        <f t="shared" si="27"/>
        <v>0</v>
      </c>
      <c r="Q90" s="781"/>
      <c r="R90" s="781">
        <f t="shared" si="28"/>
        <v>0</v>
      </c>
      <c r="S90" s="781"/>
      <c r="T90" s="781"/>
      <c r="U90" s="781">
        <f t="shared" si="29"/>
        <v>0</v>
      </c>
      <c r="V90" s="781"/>
      <c r="W90" s="781">
        <f t="shared" si="30"/>
        <v>0</v>
      </c>
      <c r="X90" s="781"/>
    </row>
    <row r="91" spans="1:24">
      <c r="A91" s="1162"/>
      <c r="B91" s="858" t="s">
        <v>103</v>
      </c>
      <c r="C91" s="1130" t="s">
        <v>21</v>
      </c>
      <c r="D91" s="1125">
        <f t="shared" si="22"/>
        <v>1847.3829999999996</v>
      </c>
      <c r="E91" s="781">
        <f>F91+G91</f>
        <v>0</v>
      </c>
      <c r="F91" s="688"/>
      <c r="G91" s="688"/>
      <c r="H91" s="1127">
        <f t="shared" ref="H91:H93" si="31">I91+J92</f>
        <v>1797.3429999999996</v>
      </c>
      <c r="I91" s="1161">
        <f>'1 квартал'!I91+'2 квартал'!I91+68.978</f>
        <v>1797.3429999999996</v>
      </c>
      <c r="J91" s="1161">
        <f>'1 квартал'!J91+'2 квартал'!J91</f>
        <v>0</v>
      </c>
      <c r="K91" s="1129">
        <f t="shared" si="24"/>
        <v>50.04</v>
      </c>
      <c r="L91" s="1134">
        <f>'1 квартал'!L91+'2 квартал'!L91+2.377</f>
        <v>50.04</v>
      </c>
      <c r="M91" s="1134">
        <f>'1 квартал'!M91+'2 квартал'!M91</f>
        <v>0</v>
      </c>
      <c r="N91" s="781">
        <f t="shared" si="26"/>
        <v>0</v>
      </c>
      <c r="O91" s="856"/>
      <c r="P91" s="781">
        <f t="shared" si="27"/>
        <v>0</v>
      </c>
      <c r="Q91" s="781"/>
      <c r="R91" s="781">
        <f t="shared" si="28"/>
        <v>0</v>
      </c>
      <c r="S91" s="781"/>
      <c r="T91" s="781"/>
      <c r="U91" s="781">
        <f t="shared" si="29"/>
        <v>0</v>
      </c>
      <c r="V91" s="781"/>
      <c r="W91" s="781">
        <f t="shared" si="30"/>
        <v>0</v>
      </c>
      <c r="X91" s="781"/>
    </row>
    <row r="92" spans="1:24">
      <c r="A92" s="856" t="s">
        <v>104</v>
      </c>
      <c r="B92" s="858" t="s">
        <v>105</v>
      </c>
      <c r="C92" s="1130" t="s">
        <v>47</v>
      </c>
      <c r="D92" s="1125">
        <f t="shared" si="22"/>
        <v>130</v>
      </c>
      <c r="E92" s="781">
        <f>F92+G92</f>
        <v>0</v>
      </c>
      <c r="F92" s="688"/>
      <c r="G92" s="688"/>
      <c r="H92" s="1127">
        <f t="shared" si="31"/>
        <v>124</v>
      </c>
      <c r="I92" s="1161">
        <f>'1 квартал'!I92+'2 квартал'!I92+12</f>
        <v>124</v>
      </c>
      <c r="J92" s="1161">
        <f>'1 квартал'!J92+'2 квартал'!J92</f>
        <v>0</v>
      </c>
      <c r="K92" s="1129">
        <f t="shared" si="24"/>
        <v>6</v>
      </c>
      <c r="L92" s="1134">
        <f>'1 квартал'!L92+'2 квартал'!L92</f>
        <v>6</v>
      </c>
      <c r="M92" s="1134">
        <f>'1 квартал'!M92+'2 квартал'!M92</f>
        <v>0</v>
      </c>
      <c r="N92" s="781">
        <f t="shared" si="26"/>
        <v>0</v>
      </c>
      <c r="O92" s="857"/>
      <c r="P92" s="781">
        <f t="shared" si="27"/>
        <v>0</v>
      </c>
      <c r="Q92" s="781"/>
      <c r="R92" s="781">
        <f t="shared" si="28"/>
        <v>0</v>
      </c>
      <c r="S92" s="781"/>
      <c r="T92" s="781"/>
      <c r="U92" s="781">
        <f t="shared" si="29"/>
        <v>0</v>
      </c>
      <c r="V92" s="781"/>
      <c r="W92" s="781">
        <f t="shared" si="30"/>
        <v>0</v>
      </c>
      <c r="X92" s="781"/>
    </row>
    <row r="93" spans="1:24">
      <c r="A93" s="856"/>
      <c r="B93" s="858"/>
      <c r="C93" s="1130" t="s">
        <v>21</v>
      </c>
      <c r="D93" s="1125">
        <f t="shared" si="22"/>
        <v>480.60899999999998</v>
      </c>
      <c r="E93" s="781">
        <f>F93+G93</f>
        <v>0</v>
      </c>
      <c r="F93" s="688"/>
      <c r="G93" s="688"/>
      <c r="H93" s="1127">
        <f t="shared" si="31"/>
        <v>465.64299999999997</v>
      </c>
      <c r="I93" s="1161">
        <f>'1 квартал'!I93+'2 квартал'!I93+31.407</f>
        <v>465.64299999999997</v>
      </c>
      <c r="J93" s="1161">
        <f>'1 квартал'!J93+'2 квартал'!J93</f>
        <v>0</v>
      </c>
      <c r="K93" s="1129">
        <f t="shared" si="24"/>
        <v>14.966000000000001</v>
      </c>
      <c r="L93" s="1134">
        <f>'1 квартал'!L93+'2 квартал'!L93</f>
        <v>14.966000000000001</v>
      </c>
      <c r="M93" s="1134">
        <f>'1 квартал'!M93+'2 квартал'!M93</f>
        <v>0</v>
      </c>
      <c r="N93" s="781">
        <f t="shared" si="26"/>
        <v>0</v>
      </c>
      <c r="O93" s="857"/>
      <c r="P93" s="781">
        <f t="shared" si="27"/>
        <v>0</v>
      </c>
      <c r="Q93" s="781"/>
      <c r="R93" s="781">
        <f t="shared" si="28"/>
        <v>0</v>
      </c>
      <c r="S93" s="781"/>
      <c r="T93" s="781"/>
      <c r="U93" s="781">
        <f t="shared" si="29"/>
        <v>0</v>
      </c>
      <c r="V93" s="781"/>
      <c r="W93" s="781">
        <f t="shared" si="30"/>
        <v>0</v>
      </c>
      <c r="X93" s="781"/>
    </row>
    <row r="94" spans="1:24" ht="85.5">
      <c r="A94" s="1163" t="s">
        <v>106</v>
      </c>
      <c r="B94" s="1164" t="s">
        <v>107</v>
      </c>
      <c r="C94" s="1165" t="s">
        <v>21</v>
      </c>
      <c r="D94" s="1125">
        <f t="shared" si="22"/>
        <v>0</v>
      </c>
      <c r="E94" s="1166">
        <f t="shared" ref="E94:X94" si="32">E95+E96</f>
        <v>0</v>
      </c>
      <c r="F94" s="1166">
        <f t="shared" si="32"/>
        <v>0</v>
      </c>
      <c r="G94" s="1166">
        <f t="shared" si="32"/>
        <v>0</v>
      </c>
      <c r="H94" s="1127">
        <f t="shared" si="23"/>
        <v>0</v>
      </c>
      <c r="I94" s="1167">
        <f t="shared" si="32"/>
        <v>0</v>
      </c>
      <c r="J94" s="1168">
        <f t="shared" si="32"/>
        <v>0</v>
      </c>
      <c r="K94" s="1129">
        <f t="shared" si="24"/>
        <v>0</v>
      </c>
      <c r="L94" s="1167">
        <f t="shared" si="32"/>
        <v>0</v>
      </c>
      <c r="M94" s="1166">
        <f t="shared" si="32"/>
        <v>0</v>
      </c>
      <c r="N94" s="1166">
        <f t="shared" si="32"/>
        <v>0</v>
      </c>
      <c r="O94" s="1166">
        <f t="shared" si="32"/>
        <v>0</v>
      </c>
      <c r="P94" s="1166">
        <f t="shared" si="32"/>
        <v>0</v>
      </c>
      <c r="Q94" s="1166">
        <f t="shared" si="32"/>
        <v>0</v>
      </c>
      <c r="R94" s="1166">
        <f t="shared" si="32"/>
        <v>0</v>
      </c>
      <c r="S94" s="1166">
        <f t="shared" si="32"/>
        <v>0</v>
      </c>
      <c r="T94" s="1166">
        <f t="shared" si="32"/>
        <v>0</v>
      </c>
      <c r="U94" s="1166">
        <f t="shared" si="32"/>
        <v>0</v>
      </c>
      <c r="V94" s="1166">
        <f t="shared" si="32"/>
        <v>0</v>
      </c>
      <c r="W94" s="1166">
        <f t="shared" si="32"/>
        <v>0</v>
      </c>
      <c r="X94" s="1166">
        <f t="shared" si="32"/>
        <v>0</v>
      </c>
    </row>
    <row r="95" spans="1:24">
      <c r="A95" s="856" t="s">
        <v>108</v>
      </c>
      <c r="B95" s="858" t="s">
        <v>304</v>
      </c>
      <c r="C95" s="1130" t="s">
        <v>21</v>
      </c>
      <c r="D95" s="1125">
        <f t="shared" si="22"/>
        <v>0</v>
      </c>
      <c r="E95" s="781">
        <f>F95+G95</f>
        <v>0</v>
      </c>
      <c r="F95" s="688"/>
      <c r="G95" s="688"/>
      <c r="H95" s="1127">
        <f t="shared" si="23"/>
        <v>0</v>
      </c>
      <c r="I95" s="1134">
        <f>'1 квартал'!I95+'2 квартал'!I95</f>
        <v>0</v>
      </c>
      <c r="J95" s="1134">
        <f>'1 квартал'!J95+'2 квартал'!J95</f>
        <v>0</v>
      </c>
      <c r="K95" s="1129">
        <f t="shared" si="24"/>
        <v>0</v>
      </c>
      <c r="L95" s="1134">
        <f>'1 квартал'!L95+'2 квартал'!L95</f>
        <v>0</v>
      </c>
      <c r="M95" s="1134">
        <f>'1 квартал'!M95+'2 квартал'!M95</f>
        <v>0</v>
      </c>
      <c r="N95" s="781">
        <f>O95</f>
        <v>0</v>
      </c>
      <c r="O95" s="857"/>
      <c r="P95" s="781">
        <f>Q95</f>
        <v>0</v>
      </c>
      <c r="Q95" s="781"/>
      <c r="R95" s="781">
        <f>S95+T95</f>
        <v>0</v>
      </c>
      <c r="S95" s="781"/>
      <c r="T95" s="781"/>
      <c r="U95" s="781">
        <f>V95</f>
        <v>0</v>
      </c>
      <c r="V95" s="781"/>
      <c r="W95" s="781">
        <f>X95</f>
        <v>0</v>
      </c>
      <c r="X95" s="781"/>
    </row>
    <row r="96" spans="1:24">
      <c r="A96" s="856" t="s">
        <v>109</v>
      </c>
      <c r="B96" s="858" t="s">
        <v>305</v>
      </c>
      <c r="C96" s="1130" t="s">
        <v>21</v>
      </c>
      <c r="D96" s="1125">
        <f t="shared" si="22"/>
        <v>0</v>
      </c>
      <c r="E96" s="781">
        <f>F96+G96</f>
        <v>0</v>
      </c>
      <c r="F96" s="688"/>
      <c r="G96" s="688"/>
      <c r="H96" s="1127">
        <f t="shared" si="23"/>
        <v>0</v>
      </c>
      <c r="I96" s="1134">
        <f>'1 квартал'!I96+'2 квартал'!I96</f>
        <v>0</v>
      </c>
      <c r="J96" s="1134">
        <f>'1 квартал'!J96+'2 квартал'!J96</f>
        <v>0</v>
      </c>
      <c r="K96" s="1129">
        <f t="shared" si="24"/>
        <v>0</v>
      </c>
      <c r="L96" s="1134">
        <f>'1 квартал'!L96+'2 квартал'!L96</f>
        <v>0</v>
      </c>
      <c r="M96" s="1134">
        <f>'1 квартал'!M96+'2 квартал'!M96</f>
        <v>0</v>
      </c>
      <c r="N96" s="781">
        <f>O96</f>
        <v>0</v>
      </c>
      <c r="O96" s="857"/>
      <c r="P96" s="781">
        <f>Q96</f>
        <v>0</v>
      </c>
      <c r="Q96" s="781"/>
      <c r="R96" s="781">
        <f>S96+T96</f>
        <v>0</v>
      </c>
      <c r="S96" s="781"/>
      <c r="T96" s="781"/>
      <c r="U96" s="781">
        <f>V96</f>
        <v>0</v>
      </c>
      <c r="V96" s="781"/>
      <c r="W96" s="781">
        <f>X96</f>
        <v>0</v>
      </c>
      <c r="X96" s="781"/>
    </row>
    <row r="97" spans="1:24">
      <c r="A97" s="1153" t="s">
        <v>110</v>
      </c>
      <c r="B97" s="1154" t="s">
        <v>111</v>
      </c>
      <c r="C97" s="1155" t="s">
        <v>21</v>
      </c>
      <c r="D97" s="1125">
        <f t="shared" si="22"/>
        <v>1071.6759999999999</v>
      </c>
      <c r="E97" s="1156">
        <f>F97+G97</f>
        <v>0</v>
      </c>
      <c r="F97" s="1169"/>
      <c r="G97" s="1169"/>
      <c r="H97" s="1127">
        <f t="shared" si="23"/>
        <v>1007.611</v>
      </c>
      <c r="I97" s="1170">
        <f>'1 квартал'!I97+'2 квартал'!I97+405.822</f>
        <v>1007.611</v>
      </c>
      <c r="J97" s="1170">
        <f>'1 квартал'!J97+'2 квартал'!J97</f>
        <v>0</v>
      </c>
      <c r="K97" s="1129">
        <f t="shared" si="24"/>
        <v>64.064999999999998</v>
      </c>
      <c r="L97" s="1171">
        <f>'1 квартал'!L97+'2 квартал'!L97+29.892</f>
        <v>64.064999999999998</v>
      </c>
      <c r="M97" s="1171">
        <f>'1 квартал'!M97+'2 квартал'!M97</f>
        <v>0</v>
      </c>
      <c r="N97" s="1156">
        <f>O97</f>
        <v>0</v>
      </c>
      <c r="O97" s="1172"/>
      <c r="P97" s="1156">
        <f>Q97</f>
        <v>0</v>
      </c>
      <c r="Q97" s="1156"/>
      <c r="R97" s="1156">
        <f>S97+T97</f>
        <v>0</v>
      </c>
      <c r="S97" s="1156"/>
      <c r="T97" s="1156"/>
      <c r="U97" s="1156">
        <f>V97</f>
        <v>0</v>
      </c>
      <c r="V97" s="1156"/>
      <c r="W97" s="1156">
        <f>X97</f>
        <v>0</v>
      </c>
      <c r="X97" s="1156"/>
    </row>
    <row r="98" spans="1:24" ht="15.75" thickBot="1">
      <c r="A98" s="1150"/>
      <c r="B98" s="858" t="s">
        <v>112</v>
      </c>
      <c r="C98" s="1130" t="s">
        <v>21</v>
      </c>
      <c r="D98" s="1173">
        <f>H98+K98</f>
        <v>16725.608499999998</v>
      </c>
      <c r="E98" s="1174">
        <f t="shared" ref="E98:X98" si="33">E97+E94+E87+E72+E13</f>
        <v>0</v>
      </c>
      <c r="F98" s="1174">
        <f t="shared" si="33"/>
        <v>0</v>
      </c>
      <c r="G98" s="1174">
        <f t="shared" si="33"/>
        <v>0</v>
      </c>
      <c r="H98" s="1175">
        <f>I98+J98</f>
        <v>15796.117</v>
      </c>
      <c r="I98" s="1131">
        <f>I97+I94+I87+I72+I13</f>
        <v>14954.964</v>
      </c>
      <c r="J98" s="1132">
        <f>J97+J94+J87+J72+J13</f>
        <v>841.15300000000002</v>
      </c>
      <c r="K98" s="1176">
        <f>L98+M98</f>
        <v>929.49149999999997</v>
      </c>
      <c r="L98" s="1131">
        <f t="shared" si="33"/>
        <v>928.90750000000003</v>
      </c>
      <c r="M98" s="781">
        <f>M97+M94+M87+M72+M13</f>
        <v>0.58399999999999996</v>
      </c>
      <c r="N98" s="781">
        <f t="shared" si="33"/>
        <v>0</v>
      </c>
      <c r="O98" s="781">
        <f t="shared" si="33"/>
        <v>0</v>
      </c>
      <c r="P98" s="781">
        <f t="shared" si="33"/>
        <v>0</v>
      </c>
      <c r="Q98" s="781">
        <f t="shared" si="33"/>
        <v>0</v>
      </c>
      <c r="R98" s="781">
        <f t="shared" si="33"/>
        <v>0</v>
      </c>
      <c r="S98" s="781">
        <f t="shared" si="33"/>
        <v>0</v>
      </c>
      <c r="T98" s="781">
        <f t="shared" si="33"/>
        <v>0</v>
      </c>
      <c r="U98" s="781">
        <f t="shared" si="33"/>
        <v>0</v>
      </c>
      <c r="V98" s="781">
        <f t="shared" si="33"/>
        <v>0</v>
      </c>
      <c r="W98" s="781">
        <f t="shared" si="33"/>
        <v>0</v>
      </c>
      <c r="X98" s="781">
        <f t="shared" si="33"/>
        <v>0</v>
      </c>
    </row>
    <row r="99" spans="1:24">
      <c r="A99" s="823"/>
      <c r="B99" s="824"/>
      <c r="C99" s="824"/>
      <c r="D99" s="824">
        <v>80648.726999999999</v>
      </c>
      <c r="E99" s="824">
        <f>80648.727-D98</f>
        <v>63923.118499999997</v>
      </c>
      <c r="F99" s="824"/>
      <c r="G99" s="824"/>
      <c r="H99" s="824"/>
      <c r="I99" s="824"/>
      <c r="J99" s="824"/>
      <c r="K99" s="824"/>
      <c r="L99" s="824"/>
      <c r="M99" s="824"/>
      <c r="N99" s="824"/>
      <c r="O99" s="824"/>
      <c r="P99" s="824"/>
      <c r="Q99" s="824"/>
      <c r="R99" s="824"/>
      <c r="S99" s="824"/>
      <c r="T99" s="824"/>
      <c r="U99" s="824"/>
      <c r="V99" s="824"/>
      <c r="W99" s="824"/>
      <c r="X99" s="824"/>
    </row>
    <row r="100" spans="1:24">
      <c r="A100" s="825"/>
      <c r="B100" s="825"/>
      <c r="C100" s="825"/>
      <c r="D100" s="1177">
        <f>I51</f>
        <v>599.14099999999996</v>
      </c>
      <c r="E100" s="825"/>
      <c r="F100" s="825"/>
      <c r="G100" s="825"/>
      <c r="H100" s="825"/>
      <c r="I100" s="825">
        <f>H97-I97</f>
        <v>0</v>
      </c>
      <c r="J100" s="825">
        <f>I97+E99</f>
        <v>64930.729499999994</v>
      </c>
      <c r="K100" s="825"/>
      <c r="L100" s="825"/>
      <c r="M100" s="825">
        <f>9567.184-K98</f>
        <v>8637.6924999999992</v>
      </c>
      <c r="N100" s="825"/>
      <c r="O100" s="825"/>
      <c r="P100" s="825"/>
      <c r="Q100" s="825"/>
      <c r="R100" s="825"/>
      <c r="S100" s="825"/>
      <c r="T100" s="825"/>
      <c r="U100" s="825"/>
      <c r="V100" s="825"/>
      <c r="W100" s="825"/>
      <c r="X100" s="825"/>
    </row>
    <row r="101" spans="1:24">
      <c r="A101" s="1733" t="s">
        <v>113</v>
      </c>
      <c r="B101" s="1733"/>
      <c r="C101" s="1733"/>
      <c r="D101" s="1733"/>
      <c r="E101" s="1733"/>
      <c r="F101" s="1733"/>
      <c r="G101" s="1733"/>
      <c r="H101" s="1733"/>
      <c r="I101" s="1733"/>
      <c r="J101" s="1733"/>
      <c r="K101" s="1733"/>
      <c r="L101" s="1733"/>
      <c r="M101" s="1733"/>
      <c r="N101" s="1733"/>
      <c r="O101" s="1733"/>
      <c r="P101" s="1733"/>
      <c r="Q101" s="1733"/>
      <c r="R101" s="1733"/>
      <c r="S101" s="1733"/>
      <c r="T101" s="1733"/>
      <c r="U101" s="826"/>
      <c r="V101" s="826"/>
      <c r="W101" s="826"/>
      <c r="X101" s="826"/>
    </row>
    <row r="102" spans="1:24">
      <c r="A102" s="856" t="s">
        <v>114</v>
      </c>
      <c r="B102" s="858" t="s">
        <v>115</v>
      </c>
      <c r="C102" s="856" t="s">
        <v>47</v>
      </c>
      <c r="D102" s="781">
        <f t="shared" ref="D102:D127" si="34">E102+H102+K102+N102+P102+R102+U102+W102</f>
        <v>0</v>
      </c>
      <c r="E102" s="781">
        <f t="shared" ref="E102:E127" si="35">F102+G102</f>
        <v>0</v>
      </c>
      <c r="F102" s="857"/>
      <c r="G102" s="857"/>
      <c r="H102" s="781">
        <f t="shared" ref="H102:H138" si="36">I102+J102</f>
        <v>0</v>
      </c>
      <c r="I102" s="857"/>
      <c r="J102" s="857"/>
      <c r="K102" s="781">
        <f t="shared" ref="K102:K138" si="37">L102+M102</f>
        <v>0</v>
      </c>
      <c r="L102" s="857"/>
      <c r="M102" s="857"/>
      <c r="N102" s="781">
        <f t="shared" ref="N102:N138" si="38">O102</f>
        <v>0</v>
      </c>
      <c r="O102" s="857"/>
      <c r="P102" s="781">
        <f t="shared" ref="P102:P138" si="39">Q102</f>
        <v>0</v>
      </c>
      <c r="Q102" s="856"/>
      <c r="R102" s="781">
        <f t="shared" ref="R102:R138" si="40">S102+T102</f>
        <v>0</v>
      </c>
      <c r="S102" s="781"/>
      <c r="T102" s="856"/>
      <c r="U102" s="781">
        <f t="shared" ref="U102:U138" si="41">V102</f>
        <v>0</v>
      </c>
      <c r="V102" s="781"/>
      <c r="W102" s="781">
        <f t="shared" ref="W102:W138" si="42">X102</f>
        <v>0</v>
      </c>
      <c r="X102" s="781"/>
    </row>
    <row r="103" spans="1:24">
      <c r="A103" s="856"/>
      <c r="B103" s="858" t="s">
        <v>116</v>
      </c>
      <c r="C103" s="856" t="s">
        <v>21</v>
      </c>
      <c r="D103" s="781">
        <f t="shared" si="34"/>
        <v>0</v>
      </c>
      <c r="E103" s="781">
        <f t="shared" si="35"/>
        <v>0</v>
      </c>
      <c r="F103" s="857"/>
      <c r="G103" s="857"/>
      <c r="H103" s="781">
        <f t="shared" si="36"/>
        <v>0</v>
      </c>
      <c r="I103" s="857"/>
      <c r="J103" s="857"/>
      <c r="K103" s="781">
        <f t="shared" si="37"/>
        <v>0</v>
      </c>
      <c r="L103" s="857"/>
      <c r="M103" s="857"/>
      <c r="N103" s="781">
        <f t="shared" si="38"/>
        <v>0</v>
      </c>
      <c r="O103" s="857"/>
      <c r="P103" s="781">
        <f t="shared" si="39"/>
        <v>0</v>
      </c>
      <c r="Q103" s="856"/>
      <c r="R103" s="781">
        <f t="shared" si="40"/>
        <v>0</v>
      </c>
      <c r="S103" s="781"/>
      <c r="T103" s="856"/>
      <c r="U103" s="781">
        <f t="shared" si="41"/>
        <v>0</v>
      </c>
      <c r="V103" s="781"/>
      <c r="W103" s="781">
        <f t="shared" si="42"/>
        <v>0</v>
      </c>
      <c r="X103" s="781"/>
    </row>
    <row r="104" spans="1:24">
      <c r="A104" s="856" t="s">
        <v>117</v>
      </c>
      <c r="B104" s="858" t="s">
        <v>118</v>
      </c>
      <c r="C104" s="856" t="s">
        <v>47</v>
      </c>
      <c r="D104" s="781">
        <f t="shared" si="34"/>
        <v>0</v>
      </c>
      <c r="E104" s="781">
        <f t="shared" si="35"/>
        <v>0</v>
      </c>
      <c r="F104" s="857"/>
      <c r="G104" s="857"/>
      <c r="H104" s="781">
        <f t="shared" si="36"/>
        <v>0</v>
      </c>
      <c r="I104" s="857"/>
      <c r="J104" s="857"/>
      <c r="K104" s="781">
        <f t="shared" si="37"/>
        <v>0</v>
      </c>
      <c r="L104" s="857"/>
      <c r="M104" s="857"/>
      <c r="N104" s="781">
        <f t="shared" si="38"/>
        <v>0</v>
      </c>
      <c r="O104" s="857"/>
      <c r="P104" s="781">
        <f t="shared" si="39"/>
        <v>0</v>
      </c>
      <c r="Q104" s="856"/>
      <c r="R104" s="781">
        <f t="shared" si="40"/>
        <v>0</v>
      </c>
      <c r="S104" s="781"/>
      <c r="T104" s="856"/>
      <c r="U104" s="781">
        <f t="shared" si="41"/>
        <v>0</v>
      </c>
      <c r="V104" s="781"/>
      <c r="W104" s="781">
        <f t="shared" si="42"/>
        <v>0</v>
      </c>
      <c r="X104" s="781"/>
    </row>
    <row r="105" spans="1:24">
      <c r="A105" s="856"/>
      <c r="B105" s="856"/>
      <c r="C105" s="856" t="s">
        <v>21</v>
      </c>
      <c r="D105" s="781">
        <f t="shared" si="34"/>
        <v>0</v>
      </c>
      <c r="E105" s="781">
        <f t="shared" si="35"/>
        <v>0</v>
      </c>
      <c r="F105" s="857"/>
      <c r="G105" s="857"/>
      <c r="H105" s="781">
        <f t="shared" si="36"/>
        <v>0</v>
      </c>
      <c r="I105" s="857"/>
      <c r="J105" s="857"/>
      <c r="K105" s="781">
        <f t="shared" si="37"/>
        <v>0</v>
      </c>
      <c r="L105" s="857"/>
      <c r="M105" s="857"/>
      <c r="N105" s="781">
        <f t="shared" si="38"/>
        <v>0</v>
      </c>
      <c r="O105" s="857"/>
      <c r="P105" s="781">
        <f t="shared" si="39"/>
        <v>0</v>
      </c>
      <c r="Q105" s="856"/>
      <c r="R105" s="781">
        <f t="shared" si="40"/>
        <v>0</v>
      </c>
      <c r="S105" s="781"/>
      <c r="T105" s="856"/>
      <c r="U105" s="781">
        <f t="shared" si="41"/>
        <v>0</v>
      </c>
      <c r="V105" s="781"/>
      <c r="W105" s="781">
        <f t="shared" si="42"/>
        <v>0</v>
      </c>
      <c r="X105" s="781"/>
    </row>
    <row r="106" spans="1:24">
      <c r="A106" s="856" t="s">
        <v>119</v>
      </c>
      <c r="B106" s="858" t="s">
        <v>120</v>
      </c>
      <c r="C106" s="856" t="s">
        <v>47</v>
      </c>
      <c r="D106" s="781">
        <f t="shared" si="34"/>
        <v>0</v>
      </c>
      <c r="E106" s="781">
        <f t="shared" si="35"/>
        <v>0</v>
      </c>
      <c r="F106" s="857"/>
      <c r="G106" s="857"/>
      <c r="H106" s="781">
        <f t="shared" si="36"/>
        <v>0</v>
      </c>
      <c r="I106" s="857"/>
      <c r="J106" s="857"/>
      <c r="K106" s="781">
        <f t="shared" si="37"/>
        <v>0</v>
      </c>
      <c r="L106" s="857"/>
      <c r="M106" s="857"/>
      <c r="N106" s="781">
        <f t="shared" si="38"/>
        <v>0</v>
      </c>
      <c r="O106" s="857"/>
      <c r="P106" s="781">
        <f t="shared" si="39"/>
        <v>0</v>
      </c>
      <c r="Q106" s="856"/>
      <c r="R106" s="781">
        <f t="shared" si="40"/>
        <v>0</v>
      </c>
      <c r="S106" s="781"/>
      <c r="T106" s="856"/>
      <c r="U106" s="781">
        <f t="shared" si="41"/>
        <v>0</v>
      </c>
      <c r="V106" s="781"/>
      <c r="W106" s="781">
        <f t="shared" si="42"/>
        <v>0</v>
      </c>
      <c r="X106" s="781"/>
    </row>
    <row r="107" spans="1:24">
      <c r="A107" s="856"/>
      <c r="B107" s="856"/>
      <c r="C107" s="856" t="s">
        <v>21</v>
      </c>
      <c r="D107" s="781">
        <f t="shared" si="34"/>
        <v>0</v>
      </c>
      <c r="E107" s="781">
        <f t="shared" si="35"/>
        <v>0</v>
      </c>
      <c r="F107" s="857"/>
      <c r="G107" s="857"/>
      <c r="H107" s="781">
        <f t="shared" si="36"/>
        <v>0</v>
      </c>
      <c r="I107" s="857"/>
      <c r="J107" s="857"/>
      <c r="K107" s="781">
        <f t="shared" si="37"/>
        <v>0</v>
      </c>
      <c r="L107" s="857"/>
      <c r="M107" s="857"/>
      <c r="N107" s="781">
        <f t="shared" si="38"/>
        <v>0</v>
      </c>
      <c r="O107" s="857"/>
      <c r="P107" s="781">
        <f t="shared" si="39"/>
        <v>0</v>
      </c>
      <c r="Q107" s="856"/>
      <c r="R107" s="781">
        <f t="shared" si="40"/>
        <v>0</v>
      </c>
      <c r="S107" s="781"/>
      <c r="T107" s="856"/>
      <c r="U107" s="781">
        <f t="shared" si="41"/>
        <v>0</v>
      </c>
      <c r="V107" s="781"/>
      <c r="W107" s="781">
        <f t="shared" si="42"/>
        <v>0</v>
      </c>
      <c r="X107" s="781"/>
    </row>
    <row r="108" spans="1:24">
      <c r="A108" s="856" t="s">
        <v>121</v>
      </c>
      <c r="B108" s="858" t="s">
        <v>122</v>
      </c>
      <c r="C108" s="856" t="s">
        <v>24</v>
      </c>
      <c r="D108" s="781">
        <f t="shared" si="34"/>
        <v>0</v>
      </c>
      <c r="E108" s="781">
        <f t="shared" si="35"/>
        <v>0</v>
      </c>
      <c r="F108" s="857"/>
      <c r="G108" s="857"/>
      <c r="H108" s="781">
        <f t="shared" si="36"/>
        <v>0</v>
      </c>
      <c r="I108" s="857"/>
      <c r="J108" s="857"/>
      <c r="K108" s="781">
        <f t="shared" si="37"/>
        <v>0</v>
      </c>
      <c r="L108" s="857"/>
      <c r="M108" s="857"/>
      <c r="N108" s="781">
        <f t="shared" si="38"/>
        <v>0</v>
      </c>
      <c r="O108" s="857"/>
      <c r="P108" s="781">
        <f t="shared" si="39"/>
        <v>0</v>
      </c>
      <c r="Q108" s="856"/>
      <c r="R108" s="781">
        <f t="shared" si="40"/>
        <v>0</v>
      </c>
      <c r="S108" s="781"/>
      <c r="T108" s="856"/>
      <c r="U108" s="781">
        <f t="shared" si="41"/>
        <v>0</v>
      </c>
      <c r="V108" s="781"/>
      <c r="W108" s="781">
        <f t="shared" si="42"/>
        <v>0</v>
      </c>
      <c r="X108" s="781"/>
    </row>
    <row r="109" spans="1:24">
      <c r="A109" s="856"/>
      <c r="B109" s="858" t="s">
        <v>123</v>
      </c>
      <c r="C109" s="856" t="s">
        <v>21</v>
      </c>
      <c r="D109" s="781">
        <f t="shared" si="34"/>
        <v>0</v>
      </c>
      <c r="E109" s="781">
        <f t="shared" si="35"/>
        <v>0</v>
      </c>
      <c r="F109" s="857"/>
      <c r="G109" s="857"/>
      <c r="H109" s="781">
        <f t="shared" si="36"/>
        <v>0</v>
      </c>
      <c r="I109" s="857"/>
      <c r="J109" s="857"/>
      <c r="K109" s="781">
        <f t="shared" si="37"/>
        <v>0</v>
      </c>
      <c r="L109" s="857"/>
      <c r="M109" s="857"/>
      <c r="N109" s="781">
        <f t="shared" si="38"/>
        <v>0</v>
      </c>
      <c r="O109" s="857"/>
      <c r="P109" s="781">
        <f t="shared" si="39"/>
        <v>0</v>
      </c>
      <c r="Q109" s="856"/>
      <c r="R109" s="781">
        <f t="shared" si="40"/>
        <v>0</v>
      </c>
      <c r="S109" s="781"/>
      <c r="T109" s="856"/>
      <c r="U109" s="781">
        <f t="shared" si="41"/>
        <v>0</v>
      </c>
      <c r="V109" s="781"/>
      <c r="W109" s="781">
        <f t="shared" si="42"/>
        <v>0</v>
      </c>
      <c r="X109" s="781"/>
    </row>
    <row r="110" spans="1:24">
      <c r="A110" s="856" t="s">
        <v>124</v>
      </c>
      <c r="B110" s="858" t="s">
        <v>125</v>
      </c>
      <c r="C110" s="856" t="s">
        <v>47</v>
      </c>
      <c r="D110" s="781">
        <f t="shared" si="34"/>
        <v>0</v>
      </c>
      <c r="E110" s="781">
        <f t="shared" si="35"/>
        <v>0</v>
      </c>
      <c r="F110" s="857"/>
      <c r="G110" s="857"/>
      <c r="H110" s="781">
        <f t="shared" si="36"/>
        <v>0</v>
      </c>
      <c r="I110" s="857"/>
      <c r="J110" s="857"/>
      <c r="K110" s="781">
        <f t="shared" si="37"/>
        <v>0</v>
      </c>
      <c r="L110" s="857"/>
      <c r="M110" s="857"/>
      <c r="N110" s="781">
        <f t="shared" si="38"/>
        <v>0</v>
      </c>
      <c r="O110" s="857"/>
      <c r="P110" s="781">
        <f t="shared" si="39"/>
        <v>0</v>
      </c>
      <c r="Q110" s="856"/>
      <c r="R110" s="781">
        <f t="shared" si="40"/>
        <v>0</v>
      </c>
      <c r="S110" s="781"/>
      <c r="T110" s="856"/>
      <c r="U110" s="781">
        <f t="shared" si="41"/>
        <v>0</v>
      </c>
      <c r="V110" s="781"/>
      <c r="W110" s="781">
        <f t="shared" si="42"/>
        <v>0</v>
      </c>
      <c r="X110" s="781"/>
    </row>
    <row r="111" spans="1:24">
      <c r="A111" s="856"/>
      <c r="B111" s="858"/>
      <c r="C111" s="856" t="s">
        <v>21</v>
      </c>
      <c r="D111" s="781">
        <f t="shared" si="34"/>
        <v>0</v>
      </c>
      <c r="E111" s="781">
        <f t="shared" si="35"/>
        <v>0</v>
      </c>
      <c r="F111" s="857"/>
      <c r="G111" s="857"/>
      <c r="H111" s="781">
        <f t="shared" si="36"/>
        <v>0</v>
      </c>
      <c r="I111" s="857"/>
      <c r="J111" s="857"/>
      <c r="K111" s="781">
        <f t="shared" si="37"/>
        <v>0</v>
      </c>
      <c r="L111" s="857"/>
      <c r="M111" s="857"/>
      <c r="N111" s="781">
        <f t="shared" si="38"/>
        <v>0</v>
      </c>
      <c r="O111" s="857"/>
      <c r="P111" s="781">
        <f t="shared" si="39"/>
        <v>0</v>
      </c>
      <c r="Q111" s="856"/>
      <c r="R111" s="781">
        <f t="shared" si="40"/>
        <v>0</v>
      </c>
      <c r="S111" s="781"/>
      <c r="T111" s="856"/>
      <c r="U111" s="781">
        <f t="shared" si="41"/>
        <v>0</v>
      </c>
      <c r="V111" s="781"/>
      <c r="W111" s="781">
        <f t="shared" si="42"/>
        <v>0</v>
      </c>
      <c r="X111" s="781"/>
    </row>
    <row r="112" spans="1:24">
      <c r="A112" s="856" t="s">
        <v>126</v>
      </c>
      <c r="B112" s="858" t="s">
        <v>127</v>
      </c>
      <c r="C112" s="856" t="s">
        <v>51</v>
      </c>
      <c r="D112" s="781">
        <f t="shared" si="34"/>
        <v>0</v>
      </c>
      <c r="E112" s="781">
        <f t="shared" si="35"/>
        <v>0</v>
      </c>
      <c r="F112" s="857"/>
      <c r="G112" s="857"/>
      <c r="H112" s="781">
        <f t="shared" si="36"/>
        <v>0</v>
      </c>
      <c r="I112" s="857"/>
      <c r="J112" s="857"/>
      <c r="K112" s="781">
        <f t="shared" si="37"/>
        <v>0</v>
      </c>
      <c r="L112" s="857"/>
      <c r="M112" s="857"/>
      <c r="N112" s="781">
        <f t="shared" si="38"/>
        <v>0</v>
      </c>
      <c r="O112" s="857"/>
      <c r="P112" s="781">
        <f t="shared" si="39"/>
        <v>0</v>
      </c>
      <c r="Q112" s="856"/>
      <c r="R112" s="781">
        <f t="shared" si="40"/>
        <v>0</v>
      </c>
      <c r="S112" s="781"/>
      <c r="T112" s="856"/>
      <c r="U112" s="781">
        <f t="shared" si="41"/>
        <v>0</v>
      </c>
      <c r="V112" s="781"/>
      <c r="W112" s="781">
        <f t="shared" si="42"/>
        <v>0</v>
      </c>
      <c r="X112" s="781"/>
    </row>
    <row r="113" spans="1:24">
      <c r="A113" s="856"/>
      <c r="B113" s="858"/>
      <c r="C113" s="856" t="s">
        <v>128</v>
      </c>
      <c r="D113" s="781">
        <f t="shared" si="34"/>
        <v>0</v>
      </c>
      <c r="E113" s="781">
        <f t="shared" si="35"/>
        <v>0</v>
      </c>
      <c r="F113" s="857"/>
      <c r="G113" s="857"/>
      <c r="H113" s="781">
        <f t="shared" si="36"/>
        <v>0</v>
      </c>
      <c r="I113" s="857"/>
      <c r="J113" s="857"/>
      <c r="K113" s="781">
        <f t="shared" si="37"/>
        <v>0</v>
      </c>
      <c r="L113" s="857"/>
      <c r="M113" s="857"/>
      <c r="N113" s="781">
        <f t="shared" si="38"/>
        <v>0</v>
      </c>
      <c r="O113" s="857"/>
      <c r="P113" s="781">
        <f t="shared" si="39"/>
        <v>0</v>
      </c>
      <c r="Q113" s="856"/>
      <c r="R113" s="781">
        <f t="shared" si="40"/>
        <v>0</v>
      </c>
      <c r="S113" s="781"/>
      <c r="T113" s="856"/>
      <c r="U113" s="781">
        <f t="shared" si="41"/>
        <v>0</v>
      </c>
      <c r="V113" s="781"/>
      <c r="W113" s="781">
        <f t="shared" si="42"/>
        <v>0</v>
      </c>
      <c r="X113" s="781"/>
    </row>
    <row r="114" spans="1:24">
      <c r="A114" s="1150">
        <v>7</v>
      </c>
      <c r="B114" s="858" t="s">
        <v>129</v>
      </c>
      <c r="C114" s="856" t="s">
        <v>130</v>
      </c>
      <c r="D114" s="781">
        <f t="shared" si="34"/>
        <v>0</v>
      </c>
      <c r="E114" s="781">
        <f t="shared" si="35"/>
        <v>0</v>
      </c>
      <c r="F114" s="857"/>
      <c r="G114" s="857"/>
      <c r="H114" s="781">
        <f t="shared" si="36"/>
        <v>0</v>
      </c>
      <c r="I114" s="857"/>
      <c r="J114" s="857"/>
      <c r="K114" s="781">
        <f t="shared" si="37"/>
        <v>0</v>
      </c>
      <c r="L114" s="857"/>
      <c r="M114" s="857"/>
      <c r="N114" s="781">
        <f t="shared" si="38"/>
        <v>0</v>
      </c>
      <c r="O114" s="857"/>
      <c r="P114" s="781">
        <f t="shared" si="39"/>
        <v>0</v>
      </c>
      <c r="Q114" s="856"/>
      <c r="R114" s="781">
        <f t="shared" si="40"/>
        <v>0</v>
      </c>
      <c r="S114" s="781"/>
      <c r="T114" s="856"/>
      <c r="U114" s="781">
        <f t="shared" si="41"/>
        <v>0</v>
      </c>
      <c r="V114" s="781"/>
      <c r="W114" s="781">
        <f t="shared" si="42"/>
        <v>0</v>
      </c>
      <c r="X114" s="781"/>
    </row>
    <row r="115" spans="1:24">
      <c r="A115" s="856"/>
      <c r="B115" s="856"/>
      <c r="C115" s="856" t="s">
        <v>21</v>
      </c>
      <c r="D115" s="781">
        <f t="shared" si="34"/>
        <v>0</v>
      </c>
      <c r="E115" s="781">
        <f t="shared" si="35"/>
        <v>0</v>
      </c>
      <c r="F115" s="857"/>
      <c r="G115" s="857"/>
      <c r="H115" s="781">
        <f t="shared" si="36"/>
        <v>0</v>
      </c>
      <c r="I115" s="857"/>
      <c r="J115" s="857"/>
      <c r="K115" s="781">
        <f t="shared" si="37"/>
        <v>0</v>
      </c>
      <c r="L115" s="857"/>
      <c r="M115" s="857"/>
      <c r="N115" s="781">
        <f t="shared" si="38"/>
        <v>0</v>
      </c>
      <c r="O115" s="857"/>
      <c r="P115" s="781">
        <f t="shared" si="39"/>
        <v>0</v>
      </c>
      <c r="Q115" s="856"/>
      <c r="R115" s="781">
        <f t="shared" si="40"/>
        <v>0</v>
      </c>
      <c r="S115" s="781"/>
      <c r="T115" s="856"/>
      <c r="U115" s="781">
        <f t="shared" si="41"/>
        <v>0</v>
      </c>
      <c r="V115" s="781"/>
      <c r="W115" s="781">
        <f t="shared" si="42"/>
        <v>0</v>
      </c>
      <c r="X115" s="781"/>
    </row>
    <row r="116" spans="1:24">
      <c r="A116" s="1150">
        <v>8</v>
      </c>
      <c r="B116" s="858" t="s">
        <v>131</v>
      </c>
      <c r="C116" s="856" t="s">
        <v>47</v>
      </c>
      <c r="D116" s="781">
        <f t="shared" si="34"/>
        <v>0</v>
      </c>
      <c r="E116" s="781">
        <f t="shared" si="35"/>
        <v>0</v>
      </c>
      <c r="F116" s="857"/>
      <c r="G116" s="857"/>
      <c r="H116" s="781">
        <f t="shared" si="36"/>
        <v>0</v>
      </c>
      <c r="I116" s="857"/>
      <c r="J116" s="857"/>
      <c r="K116" s="781">
        <f t="shared" si="37"/>
        <v>0</v>
      </c>
      <c r="L116" s="857"/>
      <c r="M116" s="857"/>
      <c r="N116" s="781">
        <f t="shared" si="38"/>
        <v>0</v>
      </c>
      <c r="O116" s="857"/>
      <c r="P116" s="781">
        <f t="shared" si="39"/>
        <v>0</v>
      </c>
      <c r="Q116" s="856"/>
      <c r="R116" s="781">
        <f t="shared" si="40"/>
        <v>0</v>
      </c>
      <c r="S116" s="781"/>
      <c r="T116" s="856"/>
      <c r="U116" s="781">
        <f t="shared" si="41"/>
        <v>0</v>
      </c>
      <c r="V116" s="781"/>
      <c r="W116" s="781">
        <f t="shared" si="42"/>
        <v>0</v>
      </c>
      <c r="X116" s="781"/>
    </row>
    <row r="117" spans="1:24">
      <c r="A117" s="858"/>
      <c r="B117" s="858" t="s">
        <v>132</v>
      </c>
      <c r="C117" s="856" t="s">
        <v>21</v>
      </c>
      <c r="D117" s="781">
        <f t="shared" si="34"/>
        <v>0</v>
      </c>
      <c r="E117" s="781">
        <f t="shared" si="35"/>
        <v>0</v>
      </c>
      <c r="F117" s="857"/>
      <c r="G117" s="857"/>
      <c r="H117" s="781">
        <f t="shared" si="36"/>
        <v>0</v>
      </c>
      <c r="I117" s="857"/>
      <c r="J117" s="857"/>
      <c r="K117" s="781">
        <f t="shared" si="37"/>
        <v>0</v>
      </c>
      <c r="L117" s="857"/>
      <c r="M117" s="857"/>
      <c r="N117" s="781">
        <f t="shared" si="38"/>
        <v>0</v>
      </c>
      <c r="O117" s="857"/>
      <c r="P117" s="781">
        <f t="shared" si="39"/>
        <v>0</v>
      </c>
      <c r="Q117" s="856"/>
      <c r="R117" s="781">
        <f t="shared" si="40"/>
        <v>0</v>
      </c>
      <c r="S117" s="781"/>
      <c r="T117" s="856"/>
      <c r="U117" s="781">
        <f t="shared" si="41"/>
        <v>0</v>
      </c>
      <c r="V117" s="781"/>
      <c r="W117" s="781">
        <f t="shared" si="42"/>
        <v>0</v>
      </c>
      <c r="X117" s="781"/>
    </row>
    <row r="118" spans="1:24">
      <c r="A118" s="1150">
        <v>9</v>
      </c>
      <c r="B118" s="858" t="s">
        <v>133</v>
      </c>
      <c r="C118" s="856" t="s">
        <v>134</v>
      </c>
      <c r="D118" s="781">
        <f t="shared" si="34"/>
        <v>0</v>
      </c>
      <c r="E118" s="781">
        <f t="shared" si="35"/>
        <v>0</v>
      </c>
      <c r="F118" s="857"/>
      <c r="G118" s="857"/>
      <c r="H118" s="781">
        <f t="shared" si="36"/>
        <v>0</v>
      </c>
      <c r="I118" s="857"/>
      <c r="J118" s="857"/>
      <c r="K118" s="781">
        <f t="shared" si="37"/>
        <v>0</v>
      </c>
      <c r="L118" s="857"/>
      <c r="M118" s="857"/>
      <c r="N118" s="781">
        <f t="shared" si="38"/>
        <v>0</v>
      </c>
      <c r="O118" s="857"/>
      <c r="P118" s="781">
        <f t="shared" si="39"/>
        <v>0</v>
      </c>
      <c r="Q118" s="856"/>
      <c r="R118" s="781">
        <f t="shared" si="40"/>
        <v>0</v>
      </c>
      <c r="S118" s="781"/>
      <c r="T118" s="856"/>
      <c r="U118" s="781">
        <f t="shared" si="41"/>
        <v>0</v>
      </c>
      <c r="V118" s="781"/>
      <c r="W118" s="781">
        <f t="shared" si="42"/>
        <v>0</v>
      </c>
      <c r="X118" s="781"/>
    </row>
    <row r="119" spans="1:24">
      <c r="A119" s="856"/>
      <c r="B119" s="858" t="s">
        <v>135</v>
      </c>
      <c r="C119" s="856" t="s">
        <v>21</v>
      </c>
      <c r="D119" s="781">
        <f t="shared" si="34"/>
        <v>0</v>
      </c>
      <c r="E119" s="781">
        <f t="shared" si="35"/>
        <v>0</v>
      </c>
      <c r="F119" s="857"/>
      <c r="G119" s="857"/>
      <c r="H119" s="781">
        <f t="shared" si="36"/>
        <v>0</v>
      </c>
      <c r="I119" s="857"/>
      <c r="J119" s="857"/>
      <c r="K119" s="781">
        <f t="shared" si="37"/>
        <v>0</v>
      </c>
      <c r="L119" s="857"/>
      <c r="M119" s="857"/>
      <c r="N119" s="781">
        <f t="shared" si="38"/>
        <v>0</v>
      </c>
      <c r="O119" s="857"/>
      <c r="P119" s="781">
        <f t="shared" si="39"/>
        <v>0</v>
      </c>
      <c r="Q119" s="856"/>
      <c r="R119" s="781">
        <f t="shared" si="40"/>
        <v>0</v>
      </c>
      <c r="S119" s="781"/>
      <c r="T119" s="856"/>
      <c r="U119" s="781">
        <f t="shared" si="41"/>
        <v>0</v>
      </c>
      <c r="V119" s="781"/>
      <c r="W119" s="781">
        <f t="shared" si="42"/>
        <v>0</v>
      </c>
      <c r="X119" s="781"/>
    </row>
    <row r="120" spans="1:24">
      <c r="A120" s="856" t="s">
        <v>136</v>
      </c>
      <c r="B120" s="858" t="s">
        <v>137</v>
      </c>
      <c r="C120" s="856" t="s">
        <v>21</v>
      </c>
      <c r="D120" s="781">
        <f t="shared" si="34"/>
        <v>0</v>
      </c>
      <c r="E120" s="781">
        <f t="shared" si="35"/>
        <v>0</v>
      </c>
      <c r="F120" s="857"/>
      <c r="G120" s="857"/>
      <c r="H120" s="781">
        <f t="shared" si="36"/>
        <v>0</v>
      </c>
      <c r="I120" s="857">
        <v>0</v>
      </c>
      <c r="J120" s="857"/>
      <c r="K120" s="781">
        <f t="shared" si="37"/>
        <v>0</v>
      </c>
      <c r="L120" s="857"/>
      <c r="M120" s="857"/>
      <c r="N120" s="781">
        <f t="shared" si="38"/>
        <v>0</v>
      </c>
      <c r="O120" s="857"/>
      <c r="P120" s="781">
        <f t="shared" si="39"/>
        <v>0</v>
      </c>
      <c r="Q120" s="857"/>
      <c r="R120" s="781">
        <f t="shared" si="40"/>
        <v>0</v>
      </c>
      <c r="S120" s="781"/>
      <c r="T120" s="857"/>
      <c r="U120" s="781">
        <f t="shared" si="41"/>
        <v>0</v>
      </c>
      <c r="V120" s="781"/>
      <c r="W120" s="781">
        <f t="shared" si="42"/>
        <v>0</v>
      </c>
      <c r="X120" s="781"/>
    </row>
    <row r="121" spans="1:24">
      <c r="A121" s="856" t="s">
        <v>138</v>
      </c>
      <c r="B121" s="856" t="s">
        <v>139</v>
      </c>
      <c r="C121" s="856" t="s">
        <v>21</v>
      </c>
      <c r="D121" s="781">
        <f t="shared" si="34"/>
        <v>0</v>
      </c>
      <c r="E121" s="781">
        <f t="shared" si="35"/>
        <v>0</v>
      </c>
      <c r="F121" s="857"/>
      <c r="G121" s="857"/>
      <c r="H121" s="781">
        <f t="shared" si="36"/>
        <v>0</v>
      </c>
      <c r="I121" s="857"/>
      <c r="J121" s="857"/>
      <c r="K121" s="781">
        <f t="shared" si="37"/>
        <v>0</v>
      </c>
      <c r="L121" s="857"/>
      <c r="M121" s="857"/>
      <c r="N121" s="781">
        <f t="shared" si="38"/>
        <v>0</v>
      </c>
      <c r="O121" s="857"/>
      <c r="P121" s="781">
        <f t="shared" si="39"/>
        <v>0</v>
      </c>
      <c r="Q121" s="857"/>
      <c r="R121" s="781">
        <f t="shared" si="40"/>
        <v>0</v>
      </c>
      <c r="S121" s="781"/>
      <c r="T121" s="857"/>
      <c r="U121" s="781">
        <f t="shared" si="41"/>
        <v>0</v>
      </c>
      <c r="V121" s="781"/>
      <c r="W121" s="781">
        <f t="shared" si="42"/>
        <v>0</v>
      </c>
      <c r="X121" s="781"/>
    </row>
    <row r="122" spans="1:24">
      <c r="A122" s="856" t="s">
        <v>140</v>
      </c>
      <c r="B122" s="858" t="s">
        <v>141</v>
      </c>
      <c r="C122" s="856" t="s">
        <v>21</v>
      </c>
      <c r="D122" s="781">
        <f t="shared" si="34"/>
        <v>0</v>
      </c>
      <c r="E122" s="781">
        <f t="shared" si="35"/>
        <v>0</v>
      </c>
      <c r="F122" s="857"/>
      <c r="G122" s="857"/>
      <c r="H122" s="781">
        <f t="shared" si="36"/>
        <v>0</v>
      </c>
      <c r="I122" s="857"/>
      <c r="J122" s="857"/>
      <c r="K122" s="781">
        <f t="shared" si="37"/>
        <v>0</v>
      </c>
      <c r="L122" s="857"/>
      <c r="M122" s="857"/>
      <c r="N122" s="781">
        <f t="shared" si="38"/>
        <v>0</v>
      </c>
      <c r="O122" s="857"/>
      <c r="P122" s="781">
        <f t="shared" si="39"/>
        <v>0</v>
      </c>
      <c r="Q122" s="857"/>
      <c r="R122" s="781">
        <f t="shared" si="40"/>
        <v>0</v>
      </c>
      <c r="S122" s="781"/>
      <c r="T122" s="857"/>
      <c r="U122" s="781">
        <f t="shared" si="41"/>
        <v>0</v>
      </c>
      <c r="V122" s="781"/>
      <c r="W122" s="781">
        <f t="shared" si="42"/>
        <v>0</v>
      </c>
      <c r="X122" s="781"/>
    </row>
    <row r="123" spans="1:24">
      <c r="A123" s="856" t="s">
        <v>142</v>
      </c>
      <c r="B123" s="858" t="s">
        <v>143</v>
      </c>
      <c r="C123" s="856" t="s">
        <v>21</v>
      </c>
      <c r="D123" s="781">
        <f t="shared" si="34"/>
        <v>0</v>
      </c>
      <c r="E123" s="781">
        <f t="shared" si="35"/>
        <v>0</v>
      </c>
      <c r="F123" s="857"/>
      <c r="G123" s="857"/>
      <c r="H123" s="781">
        <f t="shared" si="36"/>
        <v>0</v>
      </c>
      <c r="I123" s="857"/>
      <c r="J123" s="857"/>
      <c r="K123" s="781">
        <f t="shared" si="37"/>
        <v>0</v>
      </c>
      <c r="L123" s="857"/>
      <c r="M123" s="857"/>
      <c r="N123" s="781">
        <f t="shared" si="38"/>
        <v>0</v>
      </c>
      <c r="O123" s="857"/>
      <c r="P123" s="781">
        <f t="shared" si="39"/>
        <v>0</v>
      </c>
      <c r="Q123" s="857"/>
      <c r="R123" s="781">
        <f t="shared" si="40"/>
        <v>0</v>
      </c>
      <c r="S123" s="781"/>
      <c r="T123" s="857"/>
      <c r="U123" s="781">
        <f t="shared" si="41"/>
        <v>0</v>
      </c>
      <c r="V123" s="781"/>
      <c r="W123" s="781">
        <f t="shared" si="42"/>
        <v>0</v>
      </c>
      <c r="X123" s="781"/>
    </row>
    <row r="124" spans="1:24">
      <c r="A124" s="1150">
        <v>13</v>
      </c>
      <c r="B124" s="858" t="s">
        <v>144</v>
      </c>
      <c r="C124" s="856" t="s">
        <v>21</v>
      </c>
      <c r="D124" s="781">
        <f t="shared" si="34"/>
        <v>0</v>
      </c>
      <c r="E124" s="781">
        <f t="shared" si="35"/>
        <v>0</v>
      </c>
      <c r="F124" s="857"/>
      <c r="G124" s="857"/>
      <c r="H124" s="781">
        <f t="shared" si="36"/>
        <v>0</v>
      </c>
      <c r="I124" s="857"/>
      <c r="J124" s="857"/>
      <c r="K124" s="781">
        <f t="shared" si="37"/>
        <v>0</v>
      </c>
      <c r="L124" s="857"/>
      <c r="M124" s="857"/>
      <c r="N124" s="781">
        <f t="shared" si="38"/>
        <v>0</v>
      </c>
      <c r="O124" s="857"/>
      <c r="P124" s="781">
        <f t="shared" si="39"/>
        <v>0</v>
      </c>
      <c r="Q124" s="857"/>
      <c r="R124" s="781">
        <f t="shared" si="40"/>
        <v>0</v>
      </c>
      <c r="S124" s="781"/>
      <c r="T124" s="857"/>
      <c r="U124" s="781">
        <f t="shared" si="41"/>
        <v>0</v>
      </c>
      <c r="V124" s="781"/>
      <c r="W124" s="781">
        <f t="shared" si="42"/>
        <v>0</v>
      </c>
      <c r="X124" s="781"/>
    </row>
    <row r="125" spans="1:24">
      <c r="A125" s="1150">
        <v>14</v>
      </c>
      <c r="B125" s="1178" t="s">
        <v>145</v>
      </c>
      <c r="C125" s="856" t="s">
        <v>21</v>
      </c>
      <c r="D125" s="781">
        <f t="shared" si="34"/>
        <v>0</v>
      </c>
      <c r="E125" s="781">
        <f t="shared" si="35"/>
        <v>0</v>
      </c>
      <c r="F125" s="857"/>
      <c r="G125" s="857"/>
      <c r="H125" s="781">
        <f t="shared" si="36"/>
        <v>0</v>
      </c>
      <c r="I125" s="857">
        <v>0</v>
      </c>
      <c r="J125" s="857"/>
      <c r="K125" s="781">
        <f t="shared" si="37"/>
        <v>0</v>
      </c>
      <c r="L125" s="857"/>
      <c r="M125" s="857"/>
      <c r="N125" s="781">
        <f t="shared" si="38"/>
        <v>0</v>
      </c>
      <c r="O125" s="857"/>
      <c r="P125" s="781">
        <f t="shared" si="39"/>
        <v>0</v>
      </c>
      <c r="Q125" s="857"/>
      <c r="R125" s="781">
        <f t="shared" si="40"/>
        <v>0</v>
      </c>
      <c r="S125" s="781"/>
      <c r="T125" s="857"/>
      <c r="U125" s="781">
        <f t="shared" si="41"/>
        <v>0</v>
      </c>
      <c r="V125" s="781"/>
      <c r="W125" s="781">
        <f t="shared" si="42"/>
        <v>0</v>
      </c>
      <c r="X125" s="781"/>
    </row>
    <row r="126" spans="1:24">
      <c r="A126" s="856" t="s">
        <v>146</v>
      </c>
      <c r="B126" s="858" t="s">
        <v>147</v>
      </c>
      <c r="C126" s="856" t="s">
        <v>21</v>
      </c>
      <c r="D126" s="781">
        <f t="shared" si="34"/>
        <v>0</v>
      </c>
      <c r="E126" s="781">
        <f t="shared" si="35"/>
        <v>0</v>
      </c>
      <c r="F126" s="857"/>
      <c r="G126" s="857"/>
      <c r="H126" s="781">
        <f t="shared" si="36"/>
        <v>0</v>
      </c>
      <c r="I126" s="857">
        <v>0</v>
      </c>
      <c r="J126" s="857"/>
      <c r="K126" s="781">
        <f t="shared" si="37"/>
        <v>0</v>
      </c>
      <c r="L126" s="857"/>
      <c r="M126" s="857"/>
      <c r="N126" s="781">
        <f t="shared" si="38"/>
        <v>0</v>
      </c>
      <c r="O126" s="857"/>
      <c r="P126" s="781">
        <f t="shared" si="39"/>
        <v>0</v>
      </c>
      <c r="Q126" s="857"/>
      <c r="R126" s="781">
        <f t="shared" si="40"/>
        <v>0</v>
      </c>
      <c r="S126" s="781"/>
      <c r="T126" s="857"/>
      <c r="U126" s="781">
        <f t="shared" si="41"/>
        <v>0</v>
      </c>
      <c r="V126" s="781"/>
      <c r="W126" s="781">
        <f t="shared" si="42"/>
        <v>0</v>
      </c>
      <c r="X126" s="781"/>
    </row>
    <row r="127" spans="1:24">
      <c r="A127" s="1150">
        <v>16</v>
      </c>
      <c r="B127" s="858" t="s">
        <v>148</v>
      </c>
      <c r="C127" s="856" t="s">
        <v>21</v>
      </c>
      <c r="D127" s="781">
        <f t="shared" si="34"/>
        <v>0</v>
      </c>
      <c r="E127" s="781">
        <f t="shared" si="35"/>
        <v>0</v>
      </c>
      <c r="F127" s="857"/>
      <c r="G127" s="857"/>
      <c r="H127" s="781">
        <f t="shared" si="36"/>
        <v>0</v>
      </c>
      <c r="I127" s="857">
        <v>0</v>
      </c>
      <c r="J127" s="857"/>
      <c r="K127" s="781">
        <f t="shared" si="37"/>
        <v>0</v>
      </c>
      <c r="L127" s="857"/>
      <c r="M127" s="857"/>
      <c r="N127" s="781">
        <f t="shared" si="38"/>
        <v>0</v>
      </c>
      <c r="O127" s="781"/>
      <c r="P127" s="781">
        <f t="shared" si="39"/>
        <v>0</v>
      </c>
      <c r="Q127" s="781"/>
      <c r="R127" s="781">
        <f t="shared" si="40"/>
        <v>0</v>
      </c>
      <c r="S127" s="781"/>
      <c r="T127" s="781"/>
      <c r="U127" s="781">
        <f t="shared" si="41"/>
        <v>0</v>
      </c>
      <c r="V127" s="781"/>
      <c r="W127" s="781">
        <f t="shared" si="42"/>
        <v>0</v>
      </c>
      <c r="X127" s="781"/>
    </row>
    <row r="128" spans="1:24">
      <c r="A128" s="856" t="s">
        <v>149</v>
      </c>
      <c r="B128" s="856" t="s">
        <v>150</v>
      </c>
      <c r="C128" s="856" t="s">
        <v>128</v>
      </c>
      <c r="D128" s="781">
        <f>D130+D132+D134+D136</f>
        <v>0</v>
      </c>
      <c r="E128" s="781">
        <f>E130+E132+E134+E136</f>
        <v>0</v>
      </c>
      <c r="F128" s="781">
        <f>F130+F132+F134+F136</f>
        <v>0</v>
      </c>
      <c r="G128" s="781">
        <f>G130+G132+G134+G136</f>
        <v>0</v>
      </c>
      <c r="H128" s="781">
        <f t="shared" si="36"/>
        <v>0</v>
      </c>
      <c r="I128" s="781">
        <f>I130+I132+I134+I136</f>
        <v>0</v>
      </c>
      <c r="J128" s="781">
        <f>J130+J132+J134+J136</f>
        <v>0</v>
      </c>
      <c r="K128" s="781">
        <f t="shared" si="37"/>
        <v>0</v>
      </c>
      <c r="L128" s="781">
        <f>L130+L132+L134+L136</f>
        <v>0</v>
      </c>
      <c r="M128" s="781">
        <f>M130+M132+M134+M136</f>
        <v>0</v>
      </c>
      <c r="N128" s="781">
        <f t="shared" si="38"/>
        <v>0</v>
      </c>
      <c r="O128" s="781">
        <f>O130+O132+O134+O136</f>
        <v>0</v>
      </c>
      <c r="P128" s="781">
        <f t="shared" si="39"/>
        <v>0</v>
      </c>
      <c r="Q128" s="781">
        <f>Q130+Q132+Q134+Q136</f>
        <v>0</v>
      </c>
      <c r="R128" s="781">
        <f t="shared" si="40"/>
        <v>0</v>
      </c>
      <c r="S128" s="781">
        <f>S130+S132+S134+S136</f>
        <v>0</v>
      </c>
      <c r="T128" s="781">
        <f>T130+T132+T134+T136</f>
        <v>0</v>
      </c>
      <c r="U128" s="781">
        <f t="shared" si="41"/>
        <v>0</v>
      </c>
      <c r="V128" s="781">
        <f>V130+V132+V134+V136</f>
        <v>0</v>
      </c>
      <c r="W128" s="781">
        <f t="shared" si="42"/>
        <v>0</v>
      </c>
      <c r="X128" s="781">
        <f>X130+X132+X134+X136</f>
        <v>0</v>
      </c>
    </row>
    <row r="129" spans="1:24">
      <c r="A129" s="856" t="s">
        <v>151</v>
      </c>
      <c r="B129" s="856" t="s">
        <v>152</v>
      </c>
      <c r="C129" s="856" t="s">
        <v>47</v>
      </c>
      <c r="D129" s="781">
        <f t="shared" ref="D129:D138" si="43">E129+H129+K129+N129+P129+R129+U129+W129</f>
        <v>0</v>
      </c>
      <c r="E129" s="781">
        <f t="shared" ref="E129:E138" si="44">F129+G129</f>
        <v>0</v>
      </c>
      <c r="F129" s="857"/>
      <c r="G129" s="857"/>
      <c r="H129" s="781">
        <f t="shared" si="36"/>
        <v>0</v>
      </c>
      <c r="I129" s="857"/>
      <c r="J129" s="857"/>
      <c r="K129" s="781">
        <f t="shared" si="37"/>
        <v>0</v>
      </c>
      <c r="L129" s="857"/>
      <c r="M129" s="857"/>
      <c r="N129" s="781">
        <f t="shared" si="38"/>
        <v>0</v>
      </c>
      <c r="O129" s="857"/>
      <c r="P129" s="781">
        <f t="shared" si="39"/>
        <v>0</v>
      </c>
      <c r="Q129" s="857"/>
      <c r="R129" s="781">
        <f t="shared" si="40"/>
        <v>0</v>
      </c>
      <c r="S129" s="781"/>
      <c r="T129" s="857"/>
      <c r="U129" s="781">
        <f t="shared" si="41"/>
        <v>0</v>
      </c>
      <c r="V129" s="781"/>
      <c r="W129" s="781">
        <f t="shared" si="42"/>
        <v>0</v>
      </c>
      <c r="X129" s="781"/>
    </row>
    <row r="130" spans="1:24">
      <c r="A130" s="856"/>
      <c r="B130" s="856"/>
      <c r="C130" s="856" t="s">
        <v>21</v>
      </c>
      <c r="D130" s="781">
        <f t="shared" si="43"/>
        <v>0</v>
      </c>
      <c r="E130" s="781">
        <f t="shared" si="44"/>
        <v>0</v>
      </c>
      <c r="F130" s="857"/>
      <c r="G130" s="857"/>
      <c r="H130" s="781">
        <f t="shared" si="36"/>
        <v>0</v>
      </c>
      <c r="I130" s="857"/>
      <c r="J130" s="857"/>
      <c r="K130" s="781">
        <f t="shared" si="37"/>
        <v>0</v>
      </c>
      <c r="L130" s="857"/>
      <c r="M130" s="857"/>
      <c r="N130" s="781">
        <f t="shared" si="38"/>
        <v>0</v>
      </c>
      <c r="O130" s="857"/>
      <c r="P130" s="781">
        <f t="shared" si="39"/>
        <v>0</v>
      </c>
      <c r="Q130" s="857"/>
      <c r="R130" s="781">
        <f t="shared" si="40"/>
        <v>0</v>
      </c>
      <c r="S130" s="781"/>
      <c r="T130" s="857"/>
      <c r="U130" s="781">
        <f t="shared" si="41"/>
        <v>0</v>
      </c>
      <c r="V130" s="781"/>
      <c r="W130" s="781">
        <f t="shared" si="42"/>
        <v>0</v>
      </c>
      <c r="X130" s="781"/>
    </row>
    <row r="131" spans="1:24">
      <c r="A131" s="856" t="s">
        <v>153</v>
      </c>
      <c r="B131" s="856" t="s">
        <v>154</v>
      </c>
      <c r="C131" s="856" t="s">
        <v>47</v>
      </c>
      <c r="D131" s="781">
        <f t="shared" si="43"/>
        <v>0</v>
      </c>
      <c r="E131" s="781">
        <f t="shared" si="44"/>
        <v>0</v>
      </c>
      <c r="F131" s="857"/>
      <c r="G131" s="857"/>
      <c r="H131" s="781">
        <f t="shared" si="36"/>
        <v>0</v>
      </c>
      <c r="I131" s="857"/>
      <c r="J131" s="857"/>
      <c r="K131" s="781">
        <f t="shared" si="37"/>
        <v>0</v>
      </c>
      <c r="L131" s="857"/>
      <c r="M131" s="857"/>
      <c r="N131" s="781">
        <f t="shared" si="38"/>
        <v>0</v>
      </c>
      <c r="O131" s="857"/>
      <c r="P131" s="781">
        <f t="shared" si="39"/>
        <v>0</v>
      </c>
      <c r="Q131" s="857"/>
      <c r="R131" s="781">
        <f t="shared" si="40"/>
        <v>0</v>
      </c>
      <c r="S131" s="781"/>
      <c r="T131" s="857"/>
      <c r="U131" s="781">
        <f t="shared" si="41"/>
        <v>0</v>
      </c>
      <c r="V131" s="781"/>
      <c r="W131" s="781">
        <f t="shared" si="42"/>
        <v>0</v>
      </c>
      <c r="X131" s="781"/>
    </row>
    <row r="132" spans="1:24">
      <c r="A132" s="856"/>
      <c r="B132" s="856"/>
      <c r="C132" s="856" t="s">
        <v>155</v>
      </c>
      <c r="D132" s="781">
        <f t="shared" si="43"/>
        <v>0</v>
      </c>
      <c r="E132" s="781">
        <f t="shared" si="44"/>
        <v>0</v>
      </c>
      <c r="F132" s="857"/>
      <c r="G132" s="857"/>
      <c r="H132" s="781">
        <f t="shared" si="36"/>
        <v>0</v>
      </c>
      <c r="I132" s="857"/>
      <c r="J132" s="857"/>
      <c r="K132" s="781">
        <f t="shared" si="37"/>
        <v>0</v>
      </c>
      <c r="L132" s="857"/>
      <c r="M132" s="857"/>
      <c r="N132" s="781">
        <f t="shared" si="38"/>
        <v>0</v>
      </c>
      <c r="O132" s="857"/>
      <c r="P132" s="781">
        <f t="shared" si="39"/>
        <v>0</v>
      </c>
      <c r="Q132" s="857"/>
      <c r="R132" s="781">
        <f t="shared" si="40"/>
        <v>0</v>
      </c>
      <c r="S132" s="781"/>
      <c r="T132" s="857"/>
      <c r="U132" s="781">
        <f t="shared" si="41"/>
        <v>0</v>
      </c>
      <c r="V132" s="781"/>
      <c r="W132" s="781">
        <f t="shared" si="42"/>
        <v>0</v>
      </c>
      <c r="X132" s="781"/>
    </row>
    <row r="133" spans="1:24">
      <c r="A133" s="856" t="s">
        <v>156</v>
      </c>
      <c r="B133" s="856" t="s">
        <v>157</v>
      </c>
      <c r="C133" s="856" t="s">
        <v>47</v>
      </c>
      <c r="D133" s="781">
        <f t="shared" si="43"/>
        <v>0</v>
      </c>
      <c r="E133" s="781">
        <f t="shared" si="44"/>
        <v>0</v>
      </c>
      <c r="F133" s="857"/>
      <c r="G133" s="857"/>
      <c r="H133" s="781">
        <f t="shared" si="36"/>
        <v>0</v>
      </c>
      <c r="I133" s="857"/>
      <c r="J133" s="857"/>
      <c r="K133" s="781">
        <f t="shared" si="37"/>
        <v>0</v>
      </c>
      <c r="L133" s="857"/>
      <c r="M133" s="857"/>
      <c r="N133" s="781">
        <f t="shared" si="38"/>
        <v>0</v>
      </c>
      <c r="O133" s="857"/>
      <c r="P133" s="781">
        <f t="shared" si="39"/>
        <v>0</v>
      </c>
      <c r="Q133" s="857"/>
      <c r="R133" s="781">
        <f t="shared" si="40"/>
        <v>0</v>
      </c>
      <c r="S133" s="781"/>
      <c r="T133" s="857"/>
      <c r="U133" s="781">
        <f t="shared" si="41"/>
        <v>0</v>
      </c>
      <c r="V133" s="781"/>
      <c r="W133" s="781">
        <f t="shared" si="42"/>
        <v>0</v>
      </c>
      <c r="X133" s="781"/>
    </row>
    <row r="134" spans="1:24">
      <c r="A134" s="856"/>
      <c r="B134" s="856" t="s">
        <v>158</v>
      </c>
      <c r="C134" s="856" t="s">
        <v>21</v>
      </c>
      <c r="D134" s="781">
        <f t="shared" si="43"/>
        <v>0</v>
      </c>
      <c r="E134" s="781">
        <f t="shared" si="44"/>
        <v>0</v>
      </c>
      <c r="F134" s="857"/>
      <c r="G134" s="857"/>
      <c r="H134" s="781">
        <f t="shared" si="36"/>
        <v>0</v>
      </c>
      <c r="I134" s="857"/>
      <c r="J134" s="857"/>
      <c r="K134" s="781">
        <f t="shared" si="37"/>
        <v>0</v>
      </c>
      <c r="L134" s="857"/>
      <c r="M134" s="857"/>
      <c r="N134" s="781">
        <f t="shared" si="38"/>
        <v>0</v>
      </c>
      <c r="O134" s="857"/>
      <c r="P134" s="781">
        <f t="shared" si="39"/>
        <v>0</v>
      </c>
      <c r="Q134" s="857"/>
      <c r="R134" s="781">
        <f t="shared" si="40"/>
        <v>0</v>
      </c>
      <c r="S134" s="781"/>
      <c r="T134" s="857"/>
      <c r="U134" s="781">
        <f t="shared" si="41"/>
        <v>0</v>
      </c>
      <c r="V134" s="781"/>
      <c r="W134" s="781">
        <f t="shared" si="42"/>
        <v>0</v>
      </c>
      <c r="X134" s="781"/>
    </row>
    <row r="135" spans="1:24">
      <c r="A135" s="856" t="s">
        <v>159</v>
      </c>
      <c r="B135" s="856" t="s">
        <v>160</v>
      </c>
      <c r="C135" s="856" t="s">
        <v>47</v>
      </c>
      <c r="D135" s="781">
        <f t="shared" si="43"/>
        <v>0</v>
      </c>
      <c r="E135" s="781">
        <f t="shared" si="44"/>
        <v>0</v>
      </c>
      <c r="F135" s="857"/>
      <c r="G135" s="857"/>
      <c r="H135" s="781">
        <f t="shared" si="36"/>
        <v>0</v>
      </c>
      <c r="I135" s="857"/>
      <c r="J135" s="857"/>
      <c r="K135" s="781">
        <f t="shared" si="37"/>
        <v>0</v>
      </c>
      <c r="L135" s="857"/>
      <c r="M135" s="857"/>
      <c r="N135" s="781">
        <f t="shared" si="38"/>
        <v>0</v>
      </c>
      <c r="O135" s="857"/>
      <c r="P135" s="781">
        <f t="shared" si="39"/>
        <v>0</v>
      </c>
      <c r="Q135" s="857"/>
      <c r="R135" s="781">
        <f t="shared" si="40"/>
        <v>0</v>
      </c>
      <c r="S135" s="781"/>
      <c r="T135" s="857"/>
      <c r="U135" s="781">
        <f t="shared" si="41"/>
        <v>0</v>
      </c>
      <c r="V135" s="781"/>
      <c r="W135" s="781">
        <f t="shared" si="42"/>
        <v>0</v>
      </c>
      <c r="X135" s="781"/>
    </row>
    <row r="136" spans="1:24">
      <c r="A136" s="856"/>
      <c r="B136" s="856"/>
      <c r="C136" s="856" t="s">
        <v>21</v>
      </c>
      <c r="D136" s="781">
        <f t="shared" si="43"/>
        <v>0</v>
      </c>
      <c r="E136" s="781">
        <f t="shared" si="44"/>
        <v>0</v>
      </c>
      <c r="F136" s="857"/>
      <c r="G136" s="857"/>
      <c r="H136" s="781">
        <f t="shared" si="36"/>
        <v>0</v>
      </c>
      <c r="I136" s="857"/>
      <c r="J136" s="857"/>
      <c r="K136" s="781">
        <f t="shared" si="37"/>
        <v>0</v>
      </c>
      <c r="L136" s="857"/>
      <c r="M136" s="857"/>
      <c r="N136" s="781">
        <f t="shared" si="38"/>
        <v>0</v>
      </c>
      <c r="O136" s="857"/>
      <c r="P136" s="781">
        <f t="shared" si="39"/>
        <v>0</v>
      </c>
      <c r="Q136" s="857"/>
      <c r="R136" s="781">
        <f t="shared" si="40"/>
        <v>0</v>
      </c>
      <c r="S136" s="781"/>
      <c r="T136" s="857"/>
      <c r="U136" s="781">
        <f t="shared" si="41"/>
        <v>0</v>
      </c>
      <c r="V136" s="781"/>
      <c r="W136" s="781">
        <f t="shared" si="42"/>
        <v>0</v>
      </c>
      <c r="X136" s="781"/>
    </row>
    <row r="137" spans="1:24">
      <c r="A137" s="856" t="s">
        <v>161</v>
      </c>
      <c r="B137" s="856" t="s">
        <v>162</v>
      </c>
      <c r="C137" s="856" t="s">
        <v>21</v>
      </c>
      <c r="D137" s="781">
        <f t="shared" si="43"/>
        <v>0</v>
      </c>
      <c r="E137" s="781">
        <f t="shared" si="44"/>
        <v>0</v>
      </c>
      <c r="F137" s="857"/>
      <c r="G137" s="857"/>
      <c r="H137" s="781">
        <f t="shared" si="36"/>
        <v>0</v>
      </c>
      <c r="I137" s="857"/>
      <c r="J137" s="857"/>
      <c r="K137" s="781">
        <f t="shared" si="37"/>
        <v>0</v>
      </c>
      <c r="L137" s="857"/>
      <c r="M137" s="857"/>
      <c r="N137" s="781">
        <f t="shared" si="38"/>
        <v>0</v>
      </c>
      <c r="O137" s="856"/>
      <c r="P137" s="781">
        <f t="shared" si="39"/>
        <v>0</v>
      </c>
      <c r="Q137" s="856"/>
      <c r="R137" s="781">
        <f t="shared" si="40"/>
        <v>0</v>
      </c>
      <c r="S137" s="858"/>
      <c r="T137" s="856"/>
      <c r="U137" s="781">
        <f t="shared" si="41"/>
        <v>0</v>
      </c>
      <c r="V137" s="858"/>
      <c r="W137" s="781">
        <f t="shared" si="42"/>
        <v>0</v>
      </c>
      <c r="X137" s="858"/>
    </row>
    <row r="138" spans="1:24">
      <c r="A138" s="856" t="s">
        <v>163</v>
      </c>
      <c r="B138" s="856" t="s">
        <v>164</v>
      </c>
      <c r="C138" s="856" t="s">
        <v>21</v>
      </c>
      <c r="D138" s="781">
        <f t="shared" si="43"/>
        <v>0</v>
      </c>
      <c r="E138" s="781">
        <f t="shared" si="44"/>
        <v>0</v>
      </c>
      <c r="F138" s="857"/>
      <c r="G138" s="857"/>
      <c r="H138" s="781">
        <f t="shared" si="36"/>
        <v>0</v>
      </c>
      <c r="I138" s="857"/>
      <c r="J138" s="857"/>
      <c r="K138" s="781">
        <f t="shared" si="37"/>
        <v>0</v>
      </c>
      <c r="L138" s="857"/>
      <c r="M138" s="857"/>
      <c r="N138" s="781">
        <f t="shared" si="38"/>
        <v>0</v>
      </c>
      <c r="O138" s="856"/>
      <c r="P138" s="781">
        <f t="shared" si="39"/>
        <v>0</v>
      </c>
      <c r="Q138" s="856"/>
      <c r="R138" s="781">
        <f t="shared" si="40"/>
        <v>0</v>
      </c>
      <c r="S138" s="858"/>
      <c r="T138" s="856"/>
      <c r="U138" s="781">
        <f t="shared" si="41"/>
        <v>0</v>
      </c>
      <c r="V138" s="858"/>
      <c r="W138" s="781">
        <f t="shared" si="42"/>
        <v>0</v>
      </c>
      <c r="X138" s="858"/>
    </row>
    <row r="139" spans="1:24">
      <c r="A139" s="856" t="s">
        <v>165</v>
      </c>
      <c r="B139" s="858" t="s">
        <v>166</v>
      </c>
      <c r="C139" s="856" t="s">
        <v>47</v>
      </c>
      <c r="D139" s="781">
        <f>H139+K139</f>
        <v>9978</v>
      </c>
      <c r="E139" s="781">
        <f t="shared" ref="E139:G140" si="45">E141+E143+E145+E147+E149+E151+E153+E155</f>
        <v>0</v>
      </c>
      <c r="F139" s="781">
        <f t="shared" si="45"/>
        <v>0</v>
      </c>
      <c r="G139" s="781">
        <f t="shared" si="45"/>
        <v>0</v>
      </c>
      <c r="H139" s="781">
        <f>I139</f>
        <v>9073</v>
      </c>
      <c r="I139" s="781">
        <f>I143+I145+I147+I149+I153</f>
        <v>9073</v>
      </c>
      <c r="J139" s="781">
        <f t="shared" ref="J139:X140" si="46">J141+J143+J145+J147+J149+J151+J153+J155</f>
        <v>0</v>
      </c>
      <c r="K139" s="781">
        <f t="shared" si="46"/>
        <v>905</v>
      </c>
      <c r="L139" s="781">
        <f t="shared" si="46"/>
        <v>905</v>
      </c>
      <c r="M139" s="781">
        <f t="shared" si="46"/>
        <v>0</v>
      </c>
      <c r="N139" s="781">
        <f t="shared" si="46"/>
        <v>0</v>
      </c>
      <c r="O139" s="781">
        <f t="shared" si="46"/>
        <v>0</v>
      </c>
      <c r="P139" s="781">
        <f t="shared" si="46"/>
        <v>0</v>
      </c>
      <c r="Q139" s="781">
        <f t="shared" si="46"/>
        <v>0</v>
      </c>
      <c r="R139" s="781">
        <f t="shared" si="46"/>
        <v>0</v>
      </c>
      <c r="S139" s="781">
        <f t="shared" si="46"/>
        <v>0</v>
      </c>
      <c r="T139" s="781">
        <f t="shared" si="46"/>
        <v>0</v>
      </c>
      <c r="U139" s="781">
        <f t="shared" si="46"/>
        <v>0</v>
      </c>
      <c r="V139" s="781">
        <f t="shared" si="46"/>
        <v>0</v>
      </c>
      <c r="W139" s="781">
        <f t="shared" si="46"/>
        <v>0</v>
      </c>
      <c r="X139" s="781">
        <f t="shared" si="46"/>
        <v>0</v>
      </c>
    </row>
    <row r="140" spans="1:24">
      <c r="A140" s="856"/>
      <c r="B140" s="858" t="s">
        <v>84</v>
      </c>
      <c r="C140" s="856" t="s">
        <v>21</v>
      </c>
      <c r="D140" s="781">
        <f>H140+K140</f>
        <v>103.93750999999999</v>
      </c>
      <c r="E140" s="781">
        <f t="shared" si="45"/>
        <v>0</v>
      </c>
      <c r="F140" s="781">
        <f t="shared" si="45"/>
        <v>0</v>
      </c>
      <c r="G140" s="781">
        <f t="shared" si="45"/>
        <v>0</v>
      </c>
      <c r="H140" s="781">
        <f>'2 квартал'!I140+'1 квартал'!I140</f>
        <v>72.529509999999988</v>
      </c>
      <c r="I140" s="781">
        <f>'2 квартал'!I140+'1 квартал'!I140</f>
        <v>72.529509999999988</v>
      </c>
      <c r="J140" s="781">
        <f t="shared" si="46"/>
        <v>0</v>
      </c>
      <c r="K140" s="781">
        <f t="shared" si="46"/>
        <v>31.408000000000001</v>
      </c>
      <c r="L140" s="781">
        <f t="shared" si="46"/>
        <v>31.408000000000001</v>
      </c>
      <c r="M140" s="781">
        <f t="shared" si="46"/>
        <v>0</v>
      </c>
      <c r="N140" s="781">
        <f t="shared" si="46"/>
        <v>0</v>
      </c>
      <c r="O140" s="781">
        <f t="shared" si="46"/>
        <v>0</v>
      </c>
      <c r="P140" s="781">
        <f t="shared" si="46"/>
        <v>0</v>
      </c>
      <c r="Q140" s="781">
        <f t="shared" si="46"/>
        <v>0</v>
      </c>
      <c r="R140" s="781">
        <f t="shared" si="46"/>
        <v>0</v>
      </c>
      <c r="S140" s="781">
        <f t="shared" si="46"/>
        <v>0</v>
      </c>
      <c r="T140" s="781">
        <f t="shared" si="46"/>
        <v>0</v>
      </c>
      <c r="U140" s="781">
        <f t="shared" si="46"/>
        <v>0</v>
      </c>
      <c r="V140" s="781">
        <f t="shared" si="46"/>
        <v>0</v>
      </c>
      <c r="W140" s="781">
        <f t="shared" si="46"/>
        <v>0</v>
      </c>
      <c r="X140" s="781">
        <f t="shared" si="46"/>
        <v>0</v>
      </c>
    </row>
    <row r="141" spans="1:24">
      <c r="A141" s="856" t="s">
        <v>167</v>
      </c>
      <c r="B141" s="856" t="s">
        <v>168</v>
      </c>
      <c r="C141" s="856" t="s">
        <v>47</v>
      </c>
      <c r="D141" s="781">
        <f t="shared" ref="D141:D146" si="47">E141+H141+K141+N141+P141+R141+U141+W141</f>
        <v>0</v>
      </c>
      <c r="E141" s="781">
        <f t="shared" ref="E141:E156" si="48">F141+G141</f>
        <v>0</v>
      </c>
      <c r="F141" s="857"/>
      <c r="G141" s="857"/>
      <c r="H141" s="781">
        <f>'2 квартал'!I141+'1 квартал'!I141</f>
        <v>0</v>
      </c>
      <c r="I141" s="781">
        <f>'2 квартал'!I141+'1 квартал'!I141</f>
        <v>0</v>
      </c>
      <c r="J141" s="857"/>
      <c r="K141" s="781">
        <f t="shared" ref="K141:K156" si="49">L141+M141</f>
        <v>0</v>
      </c>
      <c r="L141" s="857"/>
      <c r="M141" s="857"/>
      <c r="N141" s="781">
        <f t="shared" ref="N141:N156" si="50">O141</f>
        <v>0</v>
      </c>
      <c r="O141" s="857"/>
      <c r="P141" s="781">
        <f t="shared" ref="P141:P156" si="51">Q141</f>
        <v>0</v>
      </c>
      <c r="Q141" s="781"/>
      <c r="R141" s="781">
        <f t="shared" ref="R141:R156" si="52">S141+T141</f>
        <v>0</v>
      </c>
      <c r="S141" s="781"/>
      <c r="T141" s="781"/>
      <c r="U141" s="781">
        <f t="shared" ref="U141:U156" si="53">V141</f>
        <v>0</v>
      </c>
      <c r="V141" s="781"/>
      <c r="W141" s="781">
        <f t="shared" ref="W141:W156" si="54">X141</f>
        <v>0</v>
      </c>
      <c r="X141" s="781"/>
    </row>
    <row r="142" spans="1:24">
      <c r="A142" s="856"/>
      <c r="B142" s="856"/>
      <c r="C142" s="856" t="s">
        <v>21</v>
      </c>
      <c r="D142" s="781">
        <f t="shared" si="47"/>
        <v>0</v>
      </c>
      <c r="E142" s="781">
        <f t="shared" si="48"/>
        <v>0</v>
      </c>
      <c r="F142" s="857"/>
      <c r="G142" s="857"/>
      <c r="H142" s="781">
        <f>'2 квартал'!I142+'1 квартал'!I142</f>
        <v>0</v>
      </c>
      <c r="I142" s="781">
        <f>'2 квартал'!I142+'1 квартал'!I142</f>
        <v>0</v>
      </c>
      <c r="J142" s="857"/>
      <c r="K142" s="781">
        <f t="shared" si="49"/>
        <v>0</v>
      </c>
      <c r="L142" s="857"/>
      <c r="M142" s="857"/>
      <c r="N142" s="781">
        <f t="shared" si="50"/>
        <v>0</v>
      </c>
      <c r="O142" s="857"/>
      <c r="P142" s="781">
        <f t="shared" si="51"/>
        <v>0</v>
      </c>
      <c r="Q142" s="781"/>
      <c r="R142" s="781">
        <f t="shared" si="52"/>
        <v>0</v>
      </c>
      <c r="S142" s="781"/>
      <c r="T142" s="781"/>
      <c r="U142" s="781">
        <f t="shared" si="53"/>
        <v>0</v>
      </c>
      <c r="V142" s="781"/>
      <c r="W142" s="781">
        <f t="shared" si="54"/>
        <v>0</v>
      </c>
      <c r="X142" s="781"/>
    </row>
    <row r="143" spans="1:24">
      <c r="A143" s="856" t="s">
        <v>169</v>
      </c>
      <c r="B143" s="856" t="s">
        <v>170</v>
      </c>
      <c r="C143" s="856" t="s">
        <v>47</v>
      </c>
      <c r="D143" s="781">
        <f t="shared" si="47"/>
        <v>6</v>
      </c>
      <c r="E143" s="781">
        <f t="shared" si="48"/>
        <v>0</v>
      </c>
      <c r="F143" s="857"/>
      <c r="G143" s="857"/>
      <c r="H143" s="781">
        <f>'2 квартал'!I143+'1 квартал'!I143</f>
        <v>6</v>
      </c>
      <c r="I143" s="781">
        <f>'2 квартал'!I143+'1 квартал'!I143</f>
        <v>6</v>
      </c>
      <c r="J143" s="857"/>
      <c r="K143" s="781">
        <f t="shared" si="49"/>
        <v>0</v>
      </c>
      <c r="L143" s="857"/>
      <c r="M143" s="857"/>
      <c r="N143" s="781">
        <f t="shared" si="50"/>
        <v>0</v>
      </c>
      <c r="O143" s="857"/>
      <c r="P143" s="781">
        <f t="shared" si="51"/>
        <v>0</v>
      </c>
      <c r="Q143" s="781"/>
      <c r="R143" s="781">
        <f t="shared" si="52"/>
        <v>0</v>
      </c>
      <c r="S143" s="781"/>
      <c r="T143" s="781"/>
      <c r="U143" s="781">
        <f t="shared" si="53"/>
        <v>0</v>
      </c>
      <c r="V143" s="781"/>
      <c r="W143" s="781">
        <f t="shared" si="54"/>
        <v>0</v>
      </c>
      <c r="X143" s="781"/>
    </row>
    <row r="144" spans="1:24">
      <c r="A144" s="856"/>
      <c r="B144" s="856"/>
      <c r="C144" s="856" t="s">
        <v>21</v>
      </c>
      <c r="D144" s="781">
        <f t="shared" si="47"/>
        <v>2.6105399999999999</v>
      </c>
      <c r="E144" s="781">
        <f t="shared" si="48"/>
        <v>0</v>
      </c>
      <c r="F144" s="857"/>
      <c r="G144" s="857"/>
      <c r="H144" s="781">
        <f>'2 квартал'!I144+'1 квартал'!I144</f>
        <v>2.6105399999999999</v>
      </c>
      <c r="I144" s="781">
        <f>'2 квартал'!I144+'1 квартал'!I144</f>
        <v>2.6105399999999999</v>
      </c>
      <c r="J144" s="857"/>
      <c r="K144" s="781">
        <f t="shared" si="49"/>
        <v>0</v>
      </c>
      <c r="L144" s="857"/>
      <c r="M144" s="857"/>
      <c r="N144" s="781">
        <f t="shared" si="50"/>
        <v>0</v>
      </c>
      <c r="O144" s="857"/>
      <c r="P144" s="781">
        <f t="shared" si="51"/>
        <v>0</v>
      </c>
      <c r="Q144" s="781"/>
      <c r="R144" s="781">
        <f t="shared" si="52"/>
        <v>0</v>
      </c>
      <c r="S144" s="781"/>
      <c r="T144" s="781"/>
      <c r="U144" s="781">
        <f t="shared" si="53"/>
        <v>0</v>
      </c>
      <c r="V144" s="781"/>
      <c r="W144" s="781">
        <f t="shared" si="54"/>
        <v>0</v>
      </c>
      <c r="X144" s="781"/>
    </row>
    <row r="145" spans="1:24">
      <c r="A145" s="856" t="s">
        <v>171</v>
      </c>
      <c r="B145" s="856" t="s">
        <v>172</v>
      </c>
      <c r="C145" s="856" t="s">
        <v>47</v>
      </c>
      <c r="D145" s="781">
        <f t="shared" si="47"/>
        <v>0</v>
      </c>
      <c r="E145" s="781">
        <f t="shared" si="48"/>
        <v>0</v>
      </c>
      <c r="F145" s="857"/>
      <c r="G145" s="857"/>
      <c r="H145" s="781">
        <f>'2 квартал'!I145+'1 квартал'!I145</f>
        <v>0</v>
      </c>
      <c r="I145" s="781">
        <f>'2 квартал'!I145+'1 квартал'!I145</f>
        <v>0</v>
      </c>
      <c r="J145" s="857"/>
      <c r="K145" s="781">
        <f t="shared" si="49"/>
        <v>0</v>
      </c>
      <c r="L145" s="857"/>
      <c r="M145" s="857"/>
      <c r="N145" s="781">
        <f t="shared" si="50"/>
        <v>0</v>
      </c>
      <c r="O145" s="857"/>
      <c r="P145" s="781">
        <f t="shared" si="51"/>
        <v>0</v>
      </c>
      <c r="Q145" s="781"/>
      <c r="R145" s="781">
        <f t="shared" si="52"/>
        <v>0</v>
      </c>
      <c r="S145" s="781"/>
      <c r="T145" s="781"/>
      <c r="U145" s="781">
        <f t="shared" si="53"/>
        <v>0</v>
      </c>
      <c r="V145" s="781"/>
      <c r="W145" s="781">
        <f t="shared" si="54"/>
        <v>0</v>
      </c>
      <c r="X145" s="781"/>
    </row>
    <row r="146" spans="1:24">
      <c r="A146" s="856"/>
      <c r="B146" s="856"/>
      <c r="C146" s="856" t="s">
        <v>21</v>
      </c>
      <c r="D146" s="781">
        <f t="shared" si="47"/>
        <v>0</v>
      </c>
      <c r="E146" s="781">
        <f t="shared" si="48"/>
        <v>0</v>
      </c>
      <c r="F146" s="857"/>
      <c r="G146" s="857"/>
      <c r="H146" s="781">
        <f>'2 квартал'!I146+'1 квартал'!I146</f>
        <v>0</v>
      </c>
      <c r="I146" s="781">
        <f>'2 квартал'!I146+'1 квартал'!I146</f>
        <v>0</v>
      </c>
      <c r="J146" s="857"/>
      <c r="K146" s="781">
        <f t="shared" si="49"/>
        <v>0</v>
      </c>
      <c r="L146" s="857"/>
      <c r="M146" s="857"/>
      <c r="N146" s="781">
        <f t="shared" si="50"/>
        <v>0</v>
      </c>
      <c r="O146" s="857"/>
      <c r="P146" s="781">
        <f t="shared" si="51"/>
        <v>0</v>
      </c>
      <c r="Q146" s="781"/>
      <c r="R146" s="781">
        <f t="shared" si="52"/>
        <v>0</v>
      </c>
      <c r="S146" s="781"/>
      <c r="T146" s="781"/>
      <c r="U146" s="781">
        <f t="shared" si="53"/>
        <v>0</v>
      </c>
      <c r="V146" s="781"/>
      <c r="W146" s="781">
        <f t="shared" si="54"/>
        <v>0</v>
      </c>
      <c r="X146" s="781"/>
    </row>
    <row r="147" spans="1:24">
      <c r="A147" s="856" t="s">
        <v>173</v>
      </c>
      <c r="B147" s="856" t="s">
        <v>174</v>
      </c>
      <c r="C147" s="856" t="s">
        <v>47</v>
      </c>
      <c r="D147" s="781">
        <f>H147</f>
        <v>4142</v>
      </c>
      <c r="E147" s="781">
        <f t="shared" si="48"/>
        <v>0</v>
      </c>
      <c r="F147" s="857"/>
      <c r="G147" s="857"/>
      <c r="H147" s="781">
        <f>'2 квартал'!I147+'1 квартал'!I147</f>
        <v>4142</v>
      </c>
      <c r="I147" s="781">
        <f>'2 квартал'!I147+'1 квартал'!I147</f>
        <v>4142</v>
      </c>
      <c r="J147" s="857"/>
      <c r="K147" s="781">
        <f t="shared" si="49"/>
        <v>0</v>
      </c>
      <c r="L147" s="857"/>
      <c r="M147" s="857"/>
      <c r="N147" s="781">
        <f t="shared" si="50"/>
        <v>0</v>
      </c>
      <c r="O147" s="857"/>
      <c r="P147" s="781">
        <f t="shared" si="51"/>
        <v>0</v>
      </c>
      <c r="Q147" s="781"/>
      <c r="R147" s="781">
        <f t="shared" si="52"/>
        <v>0</v>
      </c>
      <c r="S147" s="781"/>
      <c r="T147" s="781"/>
      <c r="U147" s="781">
        <f t="shared" si="53"/>
        <v>0</v>
      </c>
      <c r="V147" s="781"/>
      <c r="W147" s="781">
        <f t="shared" si="54"/>
        <v>0</v>
      </c>
      <c r="X147" s="781"/>
    </row>
    <row r="148" spans="1:24">
      <c r="A148" s="856"/>
      <c r="B148" s="856"/>
      <c r="C148" s="856" t="s">
        <v>21</v>
      </c>
      <c r="D148" s="781">
        <v>0</v>
      </c>
      <c r="E148" s="781">
        <f t="shared" si="48"/>
        <v>0</v>
      </c>
      <c r="F148" s="857"/>
      <c r="G148" s="857"/>
      <c r="H148" s="781">
        <f>'2 квартал'!I148+'1 квартал'!I148</f>
        <v>44.854390000000002</v>
      </c>
      <c r="I148" s="781">
        <f>'2 квартал'!I148+'1 квартал'!I148</f>
        <v>44.854390000000002</v>
      </c>
      <c r="J148" s="857"/>
      <c r="K148" s="781">
        <f t="shared" si="49"/>
        <v>0</v>
      </c>
      <c r="L148" s="857"/>
      <c r="M148" s="857"/>
      <c r="N148" s="781">
        <f t="shared" si="50"/>
        <v>0</v>
      </c>
      <c r="O148" s="857"/>
      <c r="P148" s="781">
        <f t="shared" si="51"/>
        <v>0</v>
      </c>
      <c r="Q148" s="781"/>
      <c r="R148" s="781">
        <f t="shared" si="52"/>
        <v>0</v>
      </c>
      <c r="S148" s="781"/>
      <c r="T148" s="781"/>
      <c r="U148" s="781">
        <f t="shared" si="53"/>
        <v>0</v>
      </c>
      <c r="V148" s="781"/>
      <c r="W148" s="781">
        <f t="shared" si="54"/>
        <v>0</v>
      </c>
      <c r="X148" s="781"/>
    </row>
    <row r="149" spans="1:24">
      <c r="A149" s="856" t="s">
        <v>175</v>
      </c>
      <c r="B149" s="856" t="s">
        <v>176</v>
      </c>
      <c r="C149" s="856" t="s">
        <v>47</v>
      </c>
      <c r="D149" s="781">
        <f t="shared" ref="D149:D156" si="55">E149+H149+K149+N149+P149+R149+U149+W149</f>
        <v>5820</v>
      </c>
      <c r="E149" s="781">
        <f t="shared" si="48"/>
        <v>0</v>
      </c>
      <c r="F149" s="857"/>
      <c r="G149" s="857"/>
      <c r="H149" s="781">
        <f>I149</f>
        <v>4915</v>
      </c>
      <c r="I149" s="781">
        <f>'2 квартал'!I149+'1 квартал'!I149+2705</f>
        <v>4915</v>
      </c>
      <c r="J149" s="857"/>
      <c r="K149" s="781">
        <f t="shared" si="49"/>
        <v>905</v>
      </c>
      <c r="L149" s="857">
        <v>905</v>
      </c>
      <c r="M149" s="857"/>
      <c r="N149" s="781">
        <f t="shared" si="50"/>
        <v>0</v>
      </c>
      <c r="O149" s="857"/>
      <c r="P149" s="781">
        <f t="shared" si="51"/>
        <v>0</v>
      </c>
      <c r="Q149" s="781"/>
      <c r="R149" s="781">
        <f t="shared" si="52"/>
        <v>0</v>
      </c>
      <c r="S149" s="781"/>
      <c r="T149" s="781"/>
      <c r="U149" s="781">
        <f t="shared" si="53"/>
        <v>0</v>
      </c>
      <c r="V149" s="781"/>
      <c r="W149" s="781">
        <f t="shared" si="54"/>
        <v>0</v>
      </c>
      <c r="X149" s="781"/>
    </row>
    <row r="150" spans="1:24">
      <c r="A150" s="856"/>
      <c r="B150" s="856"/>
      <c r="C150" s="856" t="s">
        <v>21</v>
      </c>
      <c r="D150" s="781">
        <f t="shared" si="55"/>
        <v>67.74091</v>
      </c>
      <c r="E150" s="781">
        <f t="shared" si="48"/>
        <v>0</v>
      </c>
      <c r="F150" s="857"/>
      <c r="G150" s="857"/>
      <c r="H150" s="781">
        <f>I150</f>
        <v>36.332909999999998</v>
      </c>
      <c r="I150" s="781">
        <f>'2 квартал'!I150+'1 квартал'!I150+11.58559</f>
        <v>36.332909999999998</v>
      </c>
      <c r="J150" s="857"/>
      <c r="K150" s="781">
        <f t="shared" si="49"/>
        <v>31.408000000000001</v>
      </c>
      <c r="L150" s="857">
        <v>31.408000000000001</v>
      </c>
      <c r="M150" s="857"/>
      <c r="N150" s="781">
        <f t="shared" si="50"/>
        <v>0</v>
      </c>
      <c r="O150" s="857"/>
      <c r="P150" s="781">
        <f t="shared" si="51"/>
        <v>0</v>
      </c>
      <c r="Q150" s="781"/>
      <c r="R150" s="781">
        <f t="shared" si="52"/>
        <v>0</v>
      </c>
      <c r="S150" s="781"/>
      <c r="T150" s="781"/>
      <c r="U150" s="781">
        <f t="shared" si="53"/>
        <v>0</v>
      </c>
      <c r="V150" s="781"/>
      <c r="W150" s="781">
        <f t="shared" si="54"/>
        <v>0</v>
      </c>
      <c r="X150" s="781"/>
    </row>
    <row r="151" spans="1:24">
      <c r="A151" s="856" t="s">
        <v>177</v>
      </c>
      <c r="B151" s="856" t="s">
        <v>178</v>
      </c>
      <c r="C151" s="856" t="s">
        <v>47</v>
      </c>
      <c r="D151" s="781">
        <f t="shared" si="55"/>
        <v>0</v>
      </c>
      <c r="E151" s="781">
        <f t="shared" si="48"/>
        <v>0</v>
      </c>
      <c r="F151" s="857"/>
      <c r="G151" s="857"/>
      <c r="H151" s="781">
        <f>'2 квартал'!I151+'1 квартал'!I151</f>
        <v>0</v>
      </c>
      <c r="I151" s="781">
        <f>'2 квартал'!I151+'1 квартал'!I151</f>
        <v>0</v>
      </c>
      <c r="J151" s="857"/>
      <c r="K151" s="781">
        <f t="shared" si="49"/>
        <v>0</v>
      </c>
      <c r="L151" s="857"/>
      <c r="M151" s="857"/>
      <c r="N151" s="781">
        <f t="shared" si="50"/>
        <v>0</v>
      </c>
      <c r="O151" s="857"/>
      <c r="P151" s="781">
        <f t="shared" si="51"/>
        <v>0</v>
      </c>
      <c r="Q151" s="781"/>
      <c r="R151" s="781">
        <f t="shared" si="52"/>
        <v>0</v>
      </c>
      <c r="S151" s="781"/>
      <c r="T151" s="781"/>
      <c r="U151" s="781">
        <f t="shared" si="53"/>
        <v>0</v>
      </c>
      <c r="V151" s="781"/>
      <c r="W151" s="781">
        <f t="shared" si="54"/>
        <v>0</v>
      </c>
      <c r="X151" s="781"/>
    </row>
    <row r="152" spans="1:24">
      <c r="A152" s="856"/>
      <c r="B152" s="856"/>
      <c r="C152" s="856" t="s">
        <v>21</v>
      </c>
      <c r="D152" s="781">
        <f t="shared" si="55"/>
        <v>0</v>
      </c>
      <c r="E152" s="781">
        <f t="shared" si="48"/>
        <v>0</v>
      </c>
      <c r="F152" s="857"/>
      <c r="G152" s="857"/>
      <c r="H152" s="781">
        <f>'2 квартал'!I152+'1 квартал'!I152</f>
        <v>0</v>
      </c>
      <c r="I152" s="781">
        <f>'2 квартал'!I152+'1 квартал'!I152</f>
        <v>0</v>
      </c>
      <c r="J152" s="857"/>
      <c r="K152" s="781">
        <f t="shared" si="49"/>
        <v>0</v>
      </c>
      <c r="L152" s="857"/>
      <c r="M152" s="857"/>
      <c r="N152" s="781">
        <f t="shared" si="50"/>
        <v>0</v>
      </c>
      <c r="O152" s="857"/>
      <c r="P152" s="781">
        <f t="shared" si="51"/>
        <v>0</v>
      </c>
      <c r="Q152" s="781"/>
      <c r="R152" s="781">
        <f t="shared" si="52"/>
        <v>0</v>
      </c>
      <c r="S152" s="781"/>
      <c r="T152" s="781"/>
      <c r="U152" s="781">
        <f t="shared" si="53"/>
        <v>0</v>
      </c>
      <c r="V152" s="781"/>
      <c r="W152" s="781">
        <f t="shared" si="54"/>
        <v>0</v>
      </c>
      <c r="X152" s="781"/>
    </row>
    <row r="153" spans="1:24">
      <c r="A153" s="856" t="s">
        <v>179</v>
      </c>
      <c r="B153" s="856" t="s">
        <v>180</v>
      </c>
      <c r="C153" s="856" t="s">
        <v>47</v>
      </c>
      <c r="D153" s="781">
        <f t="shared" si="55"/>
        <v>10</v>
      </c>
      <c r="E153" s="781">
        <f t="shared" si="48"/>
        <v>0</v>
      </c>
      <c r="F153" s="857"/>
      <c r="G153" s="857"/>
      <c r="H153" s="781">
        <f>'2 квартал'!I153+'1 квартал'!I153</f>
        <v>10</v>
      </c>
      <c r="I153" s="781">
        <f>'2 квартал'!I153+'1 квартал'!I153</f>
        <v>10</v>
      </c>
      <c r="J153" s="857"/>
      <c r="K153" s="781">
        <f t="shared" si="49"/>
        <v>0</v>
      </c>
      <c r="L153" s="857"/>
      <c r="M153" s="857"/>
      <c r="N153" s="781">
        <f t="shared" si="50"/>
        <v>0</v>
      </c>
      <c r="O153" s="857"/>
      <c r="P153" s="781">
        <f t="shared" si="51"/>
        <v>0</v>
      </c>
      <c r="Q153" s="781"/>
      <c r="R153" s="781">
        <f t="shared" si="52"/>
        <v>0</v>
      </c>
      <c r="S153" s="781"/>
      <c r="T153" s="781"/>
      <c r="U153" s="781">
        <f t="shared" si="53"/>
        <v>0</v>
      </c>
      <c r="V153" s="781"/>
      <c r="W153" s="781">
        <f t="shared" si="54"/>
        <v>0</v>
      </c>
      <c r="X153" s="781"/>
    </row>
    <row r="154" spans="1:24">
      <c r="A154" s="856"/>
      <c r="B154" s="856"/>
      <c r="C154" s="856" t="s">
        <v>21</v>
      </c>
      <c r="D154" s="781">
        <f t="shared" si="55"/>
        <v>0.31725999999999999</v>
      </c>
      <c r="E154" s="781">
        <f t="shared" si="48"/>
        <v>0</v>
      </c>
      <c r="F154" s="857"/>
      <c r="G154" s="857"/>
      <c r="H154" s="781">
        <f>'2 квартал'!I154+'1 квартал'!I154</f>
        <v>0.31725999999999999</v>
      </c>
      <c r="I154" s="781">
        <f>'2 квартал'!I154+'1 квартал'!I154</f>
        <v>0.31725999999999999</v>
      </c>
      <c r="J154" s="857"/>
      <c r="K154" s="781">
        <f t="shared" si="49"/>
        <v>0</v>
      </c>
      <c r="L154" s="857"/>
      <c r="M154" s="857"/>
      <c r="N154" s="781">
        <f t="shared" si="50"/>
        <v>0</v>
      </c>
      <c r="O154" s="857"/>
      <c r="P154" s="781">
        <f t="shared" si="51"/>
        <v>0</v>
      </c>
      <c r="Q154" s="781"/>
      <c r="R154" s="781">
        <f t="shared" si="52"/>
        <v>0</v>
      </c>
      <c r="S154" s="781"/>
      <c r="T154" s="781"/>
      <c r="U154" s="781">
        <f t="shared" si="53"/>
        <v>0</v>
      </c>
      <c r="V154" s="781"/>
      <c r="W154" s="781">
        <f t="shared" si="54"/>
        <v>0</v>
      </c>
      <c r="X154" s="781"/>
    </row>
    <row r="155" spans="1:24">
      <c r="A155" s="856" t="s">
        <v>181</v>
      </c>
      <c r="B155" s="856" t="s">
        <v>182</v>
      </c>
      <c r="C155" s="856" t="s">
        <v>47</v>
      </c>
      <c r="D155" s="781">
        <f t="shared" si="55"/>
        <v>0</v>
      </c>
      <c r="E155" s="781">
        <f t="shared" si="48"/>
        <v>0</v>
      </c>
      <c r="F155" s="857"/>
      <c r="G155" s="857"/>
      <c r="H155" s="781">
        <f>'2 квартал'!I155+'1 квартал'!I155</f>
        <v>0</v>
      </c>
      <c r="I155" s="781">
        <f>'2 квартал'!I155+'1 квартал'!I155</f>
        <v>0</v>
      </c>
      <c r="J155" s="857"/>
      <c r="K155" s="781">
        <f t="shared" si="49"/>
        <v>0</v>
      </c>
      <c r="L155" s="857"/>
      <c r="M155" s="857"/>
      <c r="N155" s="781">
        <f t="shared" si="50"/>
        <v>0</v>
      </c>
      <c r="O155" s="856"/>
      <c r="P155" s="781">
        <f t="shared" si="51"/>
        <v>0</v>
      </c>
      <c r="Q155" s="781"/>
      <c r="R155" s="781">
        <f t="shared" si="52"/>
        <v>0</v>
      </c>
      <c r="S155" s="781"/>
      <c r="T155" s="781"/>
      <c r="U155" s="781">
        <f t="shared" si="53"/>
        <v>0</v>
      </c>
      <c r="V155" s="781"/>
      <c r="W155" s="781">
        <f t="shared" si="54"/>
        <v>0</v>
      </c>
      <c r="X155" s="781"/>
    </row>
    <row r="156" spans="1:24">
      <c r="A156" s="856"/>
      <c r="B156" s="856"/>
      <c r="C156" s="856" t="s">
        <v>21</v>
      </c>
      <c r="D156" s="781">
        <f t="shared" si="55"/>
        <v>0</v>
      </c>
      <c r="E156" s="781">
        <f t="shared" si="48"/>
        <v>0</v>
      </c>
      <c r="F156" s="857"/>
      <c r="G156" s="857"/>
      <c r="H156" s="781">
        <f>'2 квартал'!I156+'1 квартал'!I156</f>
        <v>0</v>
      </c>
      <c r="I156" s="781">
        <f>'2 квартал'!I156+'1 квартал'!I156</f>
        <v>0</v>
      </c>
      <c r="J156" s="857"/>
      <c r="K156" s="781">
        <f t="shared" si="49"/>
        <v>0</v>
      </c>
      <c r="L156" s="857"/>
      <c r="M156" s="857"/>
      <c r="N156" s="781">
        <f t="shared" si="50"/>
        <v>0</v>
      </c>
      <c r="O156" s="856"/>
      <c r="P156" s="781">
        <f t="shared" si="51"/>
        <v>0</v>
      </c>
      <c r="Q156" s="781"/>
      <c r="R156" s="781">
        <f t="shared" si="52"/>
        <v>0</v>
      </c>
      <c r="S156" s="781"/>
      <c r="T156" s="781"/>
      <c r="U156" s="781">
        <f t="shared" si="53"/>
        <v>0</v>
      </c>
      <c r="V156" s="781"/>
      <c r="W156" s="781">
        <f t="shared" si="54"/>
        <v>0</v>
      </c>
      <c r="X156" s="781"/>
    </row>
    <row r="158" spans="1:24">
      <c r="A158" s="865" t="s">
        <v>211</v>
      </c>
      <c r="B158" s="865"/>
      <c r="C158" s="865"/>
      <c r="D158" s="1180"/>
      <c r="E158" s="1180"/>
      <c r="F158" s="976"/>
      <c r="G158" s="976"/>
      <c r="H158" s="976"/>
      <c r="I158" s="866"/>
      <c r="J158" s="866"/>
    </row>
    <row r="159" spans="1:24">
      <c r="A159" s="1720" t="s">
        <v>212</v>
      </c>
      <c r="B159" s="1720"/>
      <c r="C159" s="1720"/>
      <c r="D159" s="1720"/>
      <c r="E159" s="1720"/>
      <c r="F159" s="1720"/>
      <c r="G159" s="1720"/>
      <c r="H159" s="1720"/>
      <c r="I159" s="1720"/>
      <c r="J159" s="1720"/>
    </row>
    <row r="160" spans="1:24">
      <c r="A160" s="867"/>
      <c r="B160" s="866"/>
      <c r="C160" s="866"/>
      <c r="D160" s="1181"/>
      <c r="E160" s="1181"/>
      <c r="F160" s="1181"/>
      <c r="G160" s="1181"/>
      <c r="H160" s="1181"/>
      <c r="I160" s="866"/>
      <c r="J160" s="866"/>
    </row>
    <row r="161" spans="1:10">
      <c r="A161" s="865" t="s">
        <v>213</v>
      </c>
      <c r="B161" s="865"/>
      <c r="C161" s="865"/>
      <c r="D161" s="1182"/>
      <c r="E161" s="1182"/>
      <c r="F161" s="1181"/>
      <c r="G161" s="1181"/>
      <c r="H161" s="1181"/>
      <c r="I161" s="866"/>
      <c r="J161" s="866"/>
    </row>
  </sheetData>
  <mergeCells count="28">
    <mergeCell ref="J4:L4"/>
    <mergeCell ref="T4:X4"/>
    <mergeCell ref="J1:L1"/>
    <mergeCell ref="J2:L2"/>
    <mergeCell ref="T2:X2"/>
    <mergeCell ref="J3:L3"/>
    <mergeCell ref="T3:X3"/>
    <mergeCell ref="J5:N5"/>
    <mergeCell ref="T5:X5"/>
    <mergeCell ref="T6:X6"/>
    <mergeCell ref="A7:M7"/>
    <mergeCell ref="K9:X9"/>
    <mergeCell ref="W10:X11"/>
    <mergeCell ref="E11:G11"/>
    <mergeCell ref="H11:J11"/>
    <mergeCell ref="K11:M11"/>
    <mergeCell ref="N11:O11"/>
    <mergeCell ref="P11:Q11"/>
    <mergeCell ref="E10:Q10"/>
    <mergeCell ref="A14:A16"/>
    <mergeCell ref="A101:T101"/>
    <mergeCell ref="A159:J159"/>
    <mergeCell ref="R10:T11"/>
    <mergeCell ref="U10:V11"/>
    <mergeCell ref="A10:A12"/>
    <mergeCell ref="B10:B12"/>
    <mergeCell ref="C10:C12"/>
    <mergeCell ref="D10:D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61"/>
  <sheetViews>
    <sheetView tabSelected="1" workbookViewId="0">
      <selection activeCell="Z12" sqref="Z12"/>
    </sheetView>
  </sheetViews>
  <sheetFormatPr defaultRowHeight="15"/>
  <cols>
    <col min="1" max="1" width="4" customWidth="1"/>
    <col min="2" max="2" width="52" customWidth="1"/>
    <col min="3" max="3" width="9.28515625" customWidth="1"/>
    <col min="5" max="5" width="0.140625" customWidth="1"/>
    <col min="6" max="7" width="9.140625" hidden="1" customWidth="1"/>
    <col min="13" max="13" width="9.140625" customWidth="1"/>
    <col min="14" max="14" width="0.140625" hidden="1" customWidth="1"/>
    <col min="15" max="24" width="9.140625" hidden="1" customWidth="1"/>
  </cols>
  <sheetData>
    <row r="1" spans="1:24" ht="15" customHeight="1">
      <c r="A1" s="9"/>
      <c r="B1" s="9"/>
      <c r="C1" s="9"/>
      <c r="D1" s="10"/>
      <c r="E1" s="10"/>
      <c r="F1" s="9"/>
      <c r="G1" s="9"/>
      <c r="H1" s="9"/>
      <c r="I1" s="9"/>
      <c r="J1" s="1893" t="s">
        <v>184</v>
      </c>
      <c r="K1" s="1893"/>
      <c r="L1" s="1893"/>
      <c r="M1" s="1179"/>
      <c r="N1" s="1179"/>
      <c r="O1" s="9"/>
      <c r="P1" s="10"/>
      <c r="Q1" s="9"/>
      <c r="R1" s="10"/>
      <c r="S1" s="10"/>
      <c r="T1" s="9"/>
      <c r="U1" s="10"/>
      <c r="V1" s="10"/>
      <c r="W1" s="10"/>
      <c r="X1" s="10"/>
    </row>
    <row r="2" spans="1:24" ht="18.75" customHeight="1">
      <c r="A2" s="9"/>
      <c r="B2" s="9"/>
      <c r="C2" s="9"/>
      <c r="D2" s="10"/>
      <c r="E2" s="10"/>
      <c r="F2" s="9"/>
      <c r="G2" s="9"/>
      <c r="H2" s="9"/>
      <c r="I2" s="9"/>
      <c r="J2" s="1893" t="s">
        <v>185</v>
      </c>
      <c r="K2" s="1893"/>
      <c r="L2" s="1893"/>
      <c r="M2" s="1179"/>
      <c r="N2" s="1179"/>
      <c r="O2" s="9"/>
      <c r="P2" s="10"/>
      <c r="Q2" s="9"/>
      <c r="R2" s="10"/>
      <c r="S2" s="10"/>
      <c r="T2" s="1755" t="s">
        <v>184</v>
      </c>
      <c r="U2" s="1755"/>
      <c r="V2" s="1755"/>
      <c r="W2" s="1755"/>
      <c r="X2" s="1755"/>
    </row>
    <row r="3" spans="1:24" ht="18.75" customHeight="1">
      <c r="A3" s="9"/>
      <c r="B3" s="9"/>
      <c r="C3" s="9"/>
      <c r="D3" s="10"/>
      <c r="E3" s="10"/>
      <c r="F3" s="9"/>
      <c r="G3" s="9"/>
      <c r="H3" s="9"/>
      <c r="I3" s="9"/>
      <c r="J3" s="1893" t="s">
        <v>186</v>
      </c>
      <c r="K3" s="1893"/>
      <c r="L3" s="1893"/>
      <c r="M3" s="1179"/>
      <c r="N3" s="1179"/>
      <c r="O3" s="9"/>
      <c r="P3" s="10"/>
      <c r="Q3" s="9"/>
      <c r="R3" s="10"/>
      <c r="S3" s="10"/>
      <c r="T3" s="1755" t="s">
        <v>185</v>
      </c>
      <c r="U3" s="1755"/>
      <c r="V3" s="1755"/>
      <c r="W3" s="1755"/>
      <c r="X3" s="1755"/>
    </row>
    <row r="4" spans="1:24" ht="18.75" customHeight="1">
      <c r="A4" s="9"/>
      <c r="B4" s="9"/>
      <c r="C4" s="9"/>
      <c r="D4" s="10"/>
      <c r="E4" s="10"/>
      <c r="F4" s="9"/>
      <c r="G4" s="9"/>
      <c r="H4" s="9"/>
      <c r="I4" s="9"/>
      <c r="J4" s="1893" t="s">
        <v>187</v>
      </c>
      <c r="K4" s="1893"/>
      <c r="L4" s="1893"/>
      <c r="M4" s="1179"/>
      <c r="N4" s="1179"/>
      <c r="O4" s="9"/>
      <c r="P4" s="10"/>
      <c r="Q4" s="9"/>
      <c r="R4" s="10"/>
      <c r="S4" s="10"/>
      <c r="T4" s="1755" t="s">
        <v>186</v>
      </c>
      <c r="U4" s="1755"/>
      <c r="V4" s="1755"/>
      <c r="W4" s="1755"/>
      <c r="X4" s="1755"/>
    </row>
    <row r="5" spans="1:24" ht="18.75" customHeight="1">
      <c r="A5" s="9"/>
      <c r="B5" s="9"/>
      <c r="C5" s="9"/>
      <c r="D5" s="10"/>
      <c r="E5" s="10"/>
      <c r="F5" s="9"/>
      <c r="G5" s="9"/>
      <c r="H5" s="9"/>
      <c r="I5" s="9"/>
      <c r="J5" s="1893" t="s">
        <v>210</v>
      </c>
      <c r="K5" s="1893"/>
      <c r="L5" s="1893"/>
      <c r="M5" s="1893"/>
      <c r="N5" s="1893"/>
      <c r="O5" s="9"/>
      <c r="P5" s="10"/>
      <c r="Q5" s="9"/>
      <c r="R5" s="10"/>
      <c r="S5" s="10"/>
      <c r="T5" s="1755" t="s">
        <v>187</v>
      </c>
      <c r="U5" s="1755"/>
      <c r="V5" s="1755"/>
      <c r="W5" s="1755"/>
      <c r="X5" s="1755"/>
    </row>
    <row r="6" spans="1:24" ht="18.75">
      <c r="A6" s="9"/>
      <c r="B6" s="9"/>
      <c r="C6" s="9"/>
      <c r="D6" s="10"/>
      <c r="E6" s="10"/>
      <c r="F6" s="9"/>
      <c r="G6" s="9"/>
      <c r="H6" s="9"/>
      <c r="I6" s="9"/>
      <c r="J6" s="9"/>
      <c r="K6" s="10"/>
      <c r="L6" s="9"/>
      <c r="M6" s="9"/>
      <c r="N6" s="9"/>
      <c r="O6" s="9"/>
      <c r="P6" s="10"/>
      <c r="Q6" s="9"/>
      <c r="R6" s="10"/>
      <c r="S6" s="10"/>
      <c r="T6" s="1755" t="s">
        <v>210</v>
      </c>
      <c r="U6" s="1755"/>
      <c r="V6" s="1755"/>
      <c r="W6" s="1755"/>
      <c r="X6" s="1755"/>
    </row>
    <row r="7" spans="1:24">
      <c r="A7" s="1731" t="s">
        <v>343</v>
      </c>
      <c r="B7" s="1731"/>
      <c r="C7" s="1731"/>
      <c r="D7" s="1731"/>
      <c r="E7" s="1731"/>
      <c r="F7" s="1731"/>
      <c r="G7" s="1731"/>
      <c r="H7" s="1731"/>
      <c r="I7" s="1731"/>
      <c r="J7" s="1731"/>
      <c r="K7" s="1731"/>
      <c r="L7" s="1731"/>
      <c r="M7" s="1731"/>
      <c r="N7" s="634"/>
      <c r="O7" s="634"/>
      <c r="P7" s="634"/>
      <c r="Q7" s="634"/>
      <c r="R7" s="634"/>
      <c r="S7" s="634"/>
      <c r="T7" s="634"/>
      <c r="U7" s="631"/>
      <c r="V7" s="631"/>
      <c r="W7" s="631"/>
      <c r="X7" s="631"/>
    </row>
    <row r="8" spans="1:24">
      <c r="A8" s="635" t="s">
        <v>190</v>
      </c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6"/>
      <c r="P8" s="635"/>
      <c r="Q8" s="635"/>
      <c r="R8" s="635"/>
      <c r="S8" s="635"/>
      <c r="T8" s="635"/>
      <c r="U8" s="631"/>
      <c r="V8" s="631"/>
      <c r="W8" s="631"/>
      <c r="X8" s="631"/>
    </row>
    <row r="9" spans="1:24">
      <c r="A9" s="637"/>
      <c r="B9" s="631"/>
      <c r="C9" s="631"/>
      <c r="D9" s="635"/>
      <c r="E9" s="635"/>
      <c r="F9" s="638"/>
      <c r="G9" s="638"/>
      <c r="H9" s="638"/>
      <c r="I9" s="638"/>
      <c r="J9" s="638"/>
      <c r="K9" s="1894" t="s">
        <v>0</v>
      </c>
      <c r="L9" s="1894"/>
      <c r="M9" s="1894"/>
      <c r="N9" s="1894"/>
      <c r="O9" s="1894"/>
      <c r="P9" s="1894"/>
      <c r="Q9" s="1894"/>
      <c r="R9" s="1894"/>
      <c r="S9" s="1894"/>
      <c r="T9" s="1894"/>
      <c r="U9" s="1894"/>
      <c r="V9" s="1894"/>
      <c r="W9" s="1894"/>
      <c r="X9" s="1894"/>
    </row>
    <row r="10" spans="1:24" ht="13.5" customHeight="1">
      <c r="A10" s="1895" t="s">
        <v>1</v>
      </c>
      <c r="B10" s="1896" t="s">
        <v>2</v>
      </c>
      <c r="C10" s="1896" t="s">
        <v>3</v>
      </c>
      <c r="D10" s="1897" t="s">
        <v>192</v>
      </c>
      <c r="E10" s="1892" t="s">
        <v>5</v>
      </c>
      <c r="F10" s="1892"/>
      <c r="G10" s="1892"/>
      <c r="H10" s="1892"/>
      <c r="I10" s="1892"/>
      <c r="J10" s="1892"/>
      <c r="K10" s="1892"/>
      <c r="L10" s="1892"/>
      <c r="M10" s="1892"/>
      <c r="N10" s="1892"/>
      <c r="O10" s="1892"/>
      <c r="P10" s="1892"/>
      <c r="Q10" s="1892"/>
      <c r="R10" s="1892" t="s">
        <v>6</v>
      </c>
      <c r="S10" s="1892"/>
      <c r="T10" s="1892"/>
      <c r="U10" s="1892" t="s">
        <v>7</v>
      </c>
      <c r="V10" s="1892"/>
      <c r="W10" s="1892" t="s">
        <v>8</v>
      </c>
      <c r="X10" s="1892"/>
    </row>
    <row r="11" spans="1:24" ht="48.75" customHeight="1">
      <c r="A11" s="1895"/>
      <c r="B11" s="1896"/>
      <c r="C11" s="1896"/>
      <c r="D11" s="1897"/>
      <c r="E11" s="1892" t="s">
        <v>9</v>
      </c>
      <c r="F11" s="1892"/>
      <c r="G11" s="1892"/>
      <c r="H11" s="1892" t="s">
        <v>10</v>
      </c>
      <c r="I11" s="1892"/>
      <c r="J11" s="1892"/>
      <c r="K11" s="1892" t="s">
        <v>11</v>
      </c>
      <c r="L11" s="1892"/>
      <c r="M11" s="1892"/>
      <c r="N11" s="1892" t="s">
        <v>12</v>
      </c>
      <c r="O11" s="1892"/>
      <c r="P11" s="1892" t="s">
        <v>13</v>
      </c>
      <c r="Q11" s="1892"/>
      <c r="R11" s="1892"/>
      <c r="S11" s="1892"/>
      <c r="T11" s="1892"/>
      <c r="U11" s="1892"/>
      <c r="V11" s="1892"/>
      <c r="W11" s="1892"/>
      <c r="X11" s="1892"/>
    </row>
    <row r="12" spans="1:24" ht="17.25" customHeight="1" thickBot="1">
      <c r="A12" s="1895"/>
      <c r="B12" s="1896"/>
      <c r="C12" s="1896"/>
      <c r="D12" s="1898"/>
      <c r="E12" s="1110" t="s">
        <v>14</v>
      </c>
      <c r="F12" s="1111" t="s">
        <v>15</v>
      </c>
      <c r="G12" s="1111" t="s">
        <v>16</v>
      </c>
      <c r="H12" s="1110" t="s">
        <v>14</v>
      </c>
      <c r="I12" s="1112" t="s">
        <v>15</v>
      </c>
      <c r="J12" s="1112" t="s">
        <v>16</v>
      </c>
      <c r="K12" s="1110" t="s">
        <v>14</v>
      </c>
      <c r="L12" s="1112" t="s">
        <v>15</v>
      </c>
      <c r="M12" s="1112" t="s">
        <v>16</v>
      </c>
      <c r="N12" s="1113" t="s">
        <v>4</v>
      </c>
      <c r="O12" s="1112" t="s">
        <v>16</v>
      </c>
      <c r="P12" s="1113" t="s">
        <v>4</v>
      </c>
      <c r="Q12" s="1114" t="s">
        <v>17</v>
      </c>
      <c r="R12" s="1113" t="s">
        <v>4</v>
      </c>
      <c r="S12" s="1112" t="s">
        <v>15</v>
      </c>
      <c r="T12" s="1112" t="s">
        <v>16</v>
      </c>
      <c r="U12" s="1113" t="s">
        <v>4</v>
      </c>
      <c r="V12" s="1112" t="s">
        <v>18</v>
      </c>
      <c r="W12" s="1113" t="s">
        <v>4</v>
      </c>
      <c r="X12" s="1112" t="s">
        <v>18</v>
      </c>
    </row>
    <row r="13" spans="1:24">
      <c r="A13" s="1115" t="s">
        <v>19</v>
      </c>
      <c r="B13" s="1116" t="s">
        <v>20</v>
      </c>
      <c r="C13" s="1117" t="s">
        <v>21</v>
      </c>
      <c r="D13" s="1118">
        <f t="shared" ref="D13:D76" si="0">H13+K13</f>
        <v>11594.276999999998</v>
      </c>
      <c r="E13" s="1119">
        <f>E16+E23+E34+E36+E39+E41+E43+E45+E47+E49+E51+E53+E55+E57+E59+E61+E63+E65+E67+E69+E71</f>
        <v>0</v>
      </c>
      <c r="F13" s="1119">
        <f>F16+F23+F34+F36+F39+F41+F43+F45+F47+F49+F51+F53+F55+F57+F59+F61+F63+F65+F67+F69+F71</f>
        <v>0</v>
      </c>
      <c r="G13" s="1119">
        <f>G16+G23+G34+G36+G39+G41+G43+G45+G47+G49+G51+G53+G55+G57+G59+G61+G63+G65+G67+G69+G71</f>
        <v>0</v>
      </c>
      <c r="H13" s="1120">
        <f>I13+J13</f>
        <v>10711.634999999998</v>
      </c>
      <c r="I13" s="1121">
        <f>I16+I23+I34+I36+I39+I41+I43+I45+I47+I49+I51+I53+I55+I57+I59+I61+I63+I65+I67+I69+I71</f>
        <v>8759.4089999999978</v>
      </c>
      <c r="J13" s="1122">
        <f>J16+J23+J34+J36+J39+J41+J43+J45+J47+J49+J51+J53+J55+J57+J59+J61+J63+J65+J67+J69+J71</f>
        <v>1952.2259999999999</v>
      </c>
      <c r="K13" s="1123">
        <f>L13+M13</f>
        <v>882.64200000000017</v>
      </c>
      <c r="L13" s="1121">
        <f>L16+L23+L34+L36+L39+L41+L43+L45+L47+L49+L51+L53+L55+L57+L59+L61+L63+L65+L67+L69+L71</f>
        <v>786.55000000000018</v>
      </c>
      <c r="M13" s="656">
        <f>M16+M23+M34+M36+M39+M41+M43+M45+M47+M49+M51+M53+M55+M57+M59+M61+M63+M65+M67+M69+M71</f>
        <v>96.091999999999999</v>
      </c>
      <c r="N13" s="656">
        <v>0</v>
      </c>
      <c r="O13" s="656">
        <v>0</v>
      </c>
      <c r="P13" s="656">
        <v>0</v>
      </c>
      <c r="Q13" s="656">
        <v>0</v>
      </c>
      <c r="R13" s="656">
        <v>0</v>
      </c>
      <c r="S13" s="656">
        <v>0</v>
      </c>
      <c r="T13" s="656">
        <v>0</v>
      </c>
      <c r="U13" s="656">
        <v>0</v>
      </c>
      <c r="V13" s="656">
        <v>0</v>
      </c>
      <c r="W13" s="656">
        <v>0</v>
      </c>
      <c r="X13" s="656">
        <v>0</v>
      </c>
    </row>
    <row r="14" spans="1:24" ht="22.5">
      <c r="A14" s="1891">
        <v>1</v>
      </c>
      <c r="B14" s="858" t="s">
        <v>22</v>
      </c>
      <c r="C14" s="1124" t="s">
        <v>23</v>
      </c>
      <c r="D14" s="1125">
        <f t="shared" si="0"/>
        <v>71</v>
      </c>
      <c r="E14" s="1126"/>
      <c r="F14" s="1126"/>
      <c r="G14" s="1126"/>
      <c r="H14" s="1127">
        <f t="shared" ref="H14:H77" si="1">I14+J14</f>
        <v>62</v>
      </c>
      <c r="I14" s="1128">
        <f>'1 квартал'!I14+'2 квартал'!I14+36</f>
        <v>62</v>
      </c>
      <c r="J14" s="1128">
        <f>'1 квартал'!J14+'2 квартал'!J14</f>
        <v>0</v>
      </c>
      <c r="K14" s="1129">
        <f t="shared" ref="K14:K77" si="2">L14+M14</f>
        <v>9</v>
      </c>
      <c r="L14" s="1128">
        <f>'1 квартал'!L14+'2 квартал'!L14+5</f>
        <v>8</v>
      </c>
      <c r="M14" s="1128">
        <v>1</v>
      </c>
      <c r="N14" s="1126"/>
      <c r="O14" s="1126"/>
      <c r="P14" s="1126"/>
      <c r="Q14" s="1126"/>
      <c r="R14" s="1126"/>
      <c r="S14" s="1126"/>
      <c r="T14" s="1126"/>
      <c r="U14" s="1126"/>
      <c r="V14" s="1126"/>
      <c r="W14" s="1126"/>
      <c r="X14" s="1126"/>
    </row>
    <row r="15" spans="1:24">
      <c r="A15" s="1891"/>
      <c r="B15" s="858"/>
      <c r="C15" s="1130" t="s">
        <v>24</v>
      </c>
      <c r="D15" s="1125">
        <f t="shared" si="0"/>
        <v>0.76842999999999995</v>
      </c>
      <c r="E15" s="781">
        <f>E17+E19+E21</f>
        <v>0</v>
      </c>
      <c r="F15" s="781">
        <f>F17+F19+F21</f>
        <v>0</v>
      </c>
      <c r="G15" s="781">
        <f>G17+G19+G21</f>
        <v>0</v>
      </c>
      <c r="H15" s="1127">
        <f t="shared" si="1"/>
        <v>0.62492999999999999</v>
      </c>
      <c r="I15" s="1131">
        <f>I17+I19</f>
        <v>0.62492999999999999</v>
      </c>
      <c r="J15" s="1132">
        <f>J17+J19</f>
        <v>0</v>
      </c>
      <c r="K15" s="1129">
        <f t="shared" si="2"/>
        <v>0.14350000000000002</v>
      </c>
      <c r="L15" s="1131">
        <f>L17+L19</f>
        <v>0.14150000000000001</v>
      </c>
      <c r="M15" s="781">
        <f>M17+M19</f>
        <v>2E-3</v>
      </c>
      <c r="N15" s="781">
        <f t="shared" ref="N15:X16" si="3">N17+N19</f>
        <v>0</v>
      </c>
      <c r="O15" s="781">
        <f t="shared" si="3"/>
        <v>0</v>
      </c>
      <c r="P15" s="781">
        <f t="shared" si="3"/>
        <v>0</v>
      </c>
      <c r="Q15" s="781">
        <f t="shared" si="3"/>
        <v>0</v>
      </c>
      <c r="R15" s="781">
        <f t="shared" si="3"/>
        <v>0</v>
      </c>
      <c r="S15" s="781">
        <f t="shared" si="3"/>
        <v>0</v>
      </c>
      <c r="T15" s="781">
        <f t="shared" si="3"/>
        <v>0</v>
      </c>
      <c r="U15" s="781">
        <f t="shared" si="3"/>
        <v>0</v>
      </c>
      <c r="V15" s="781">
        <f t="shared" si="3"/>
        <v>0</v>
      </c>
      <c r="W15" s="781">
        <f t="shared" si="3"/>
        <v>0</v>
      </c>
      <c r="X15" s="781">
        <f t="shared" si="3"/>
        <v>0</v>
      </c>
    </row>
    <row r="16" spans="1:24">
      <c r="A16" s="1891"/>
      <c r="B16" s="856" t="s">
        <v>25</v>
      </c>
      <c r="C16" s="1130" t="s">
        <v>21</v>
      </c>
      <c r="D16" s="1125">
        <f t="shared" si="0"/>
        <v>867.86099999999999</v>
      </c>
      <c r="E16" s="781">
        <f>E18+E20</f>
        <v>0</v>
      </c>
      <c r="F16" s="781">
        <f>F18+F20</f>
        <v>0</v>
      </c>
      <c r="G16" s="781">
        <f>G18+G20</f>
        <v>0</v>
      </c>
      <c r="H16" s="1127">
        <f t="shared" si="1"/>
        <v>797.35599999999999</v>
      </c>
      <c r="I16" s="1131">
        <f>I18+I20+I21</f>
        <v>797.35599999999999</v>
      </c>
      <c r="J16" s="1132">
        <f>J18+J20+J21</f>
        <v>0</v>
      </c>
      <c r="K16" s="1129">
        <f t="shared" si="2"/>
        <v>70.504999999999995</v>
      </c>
      <c r="L16" s="1131">
        <f>L18+L20+L21</f>
        <v>69.920999999999992</v>
      </c>
      <c r="M16" s="781">
        <f>M18+M20+M21</f>
        <v>0.58399999999999996</v>
      </c>
      <c r="N16" s="781">
        <f t="shared" si="3"/>
        <v>0</v>
      </c>
      <c r="O16" s="781">
        <f t="shared" si="3"/>
        <v>0</v>
      </c>
      <c r="P16" s="781">
        <f t="shared" si="3"/>
        <v>0</v>
      </c>
      <c r="Q16" s="781">
        <f t="shared" si="3"/>
        <v>0</v>
      </c>
      <c r="R16" s="781">
        <f t="shared" si="3"/>
        <v>0</v>
      </c>
      <c r="S16" s="781">
        <f t="shared" si="3"/>
        <v>0</v>
      </c>
      <c r="T16" s="781">
        <f t="shared" si="3"/>
        <v>0</v>
      </c>
      <c r="U16" s="781">
        <f t="shared" si="3"/>
        <v>0</v>
      </c>
      <c r="V16" s="781">
        <f t="shared" si="3"/>
        <v>0</v>
      </c>
      <c r="W16" s="781">
        <f t="shared" si="3"/>
        <v>0</v>
      </c>
      <c r="X16" s="781">
        <f t="shared" si="3"/>
        <v>0</v>
      </c>
    </row>
    <row r="17" spans="1:24">
      <c r="A17" s="856" t="s">
        <v>26</v>
      </c>
      <c r="B17" s="856" t="s">
        <v>27</v>
      </c>
      <c r="C17" s="1130" t="s">
        <v>24</v>
      </c>
      <c r="D17" s="1125">
        <f t="shared" si="0"/>
        <v>0.29159999999999997</v>
      </c>
      <c r="E17" s="781">
        <f>F17+G17</f>
        <v>0</v>
      </c>
      <c r="F17" s="688"/>
      <c r="G17" s="688"/>
      <c r="H17" s="1127">
        <f t="shared" si="1"/>
        <v>0.29159999999999997</v>
      </c>
      <c r="I17" s="1133">
        <f>'1 квартал'!I17+'2 квартал'!I17+0.054+0.175</f>
        <v>0.29159999999999997</v>
      </c>
      <c r="J17" s="1133">
        <f>'1 квартал'!J17+'2 квартал'!J17</f>
        <v>0</v>
      </c>
      <c r="K17" s="1129">
        <f t="shared" si="2"/>
        <v>0</v>
      </c>
      <c r="L17" s="1134">
        <f>'1 квартал'!L17+'2 квартал'!L17</f>
        <v>0</v>
      </c>
      <c r="M17" s="1134">
        <f>'1 квартал'!M17+'2 квартал'!M17</f>
        <v>0</v>
      </c>
      <c r="N17" s="781">
        <f t="shared" ref="N17:N32" si="4">O17</f>
        <v>0</v>
      </c>
      <c r="O17" s="857"/>
      <c r="P17" s="781">
        <f t="shared" ref="P17:P71" si="5">Q17</f>
        <v>0</v>
      </c>
      <c r="Q17" s="781"/>
      <c r="R17" s="781">
        <f t="shared" ref="R17:R71" si="6">S17+T17</f>
        <v>0</v>
      </c>
      <c r="S17" s="781"/>
      <c r="T17" s="781"/>
      <c r="U17" s="781">
        <f t="shared" ref="U17:U71" si="7">V17</f>
        <v>0</v>
      </c>
      <c r="V17" s="781"/>
      <c r="W17" s="781">
        <f t="shared" ref="W17:W39" si="8">X17</f>
        <v>0</v>
      </c>
      <c r="X17" s="781"/>
    </row>
    <row r="18" spans="1:24">
      <c r="A18" s="856"/>
      <c r="B18" s="856"/>
      <c r="C18" s="1130" t="s">
        <v>21</v>
      </c>
      <c r="D18" s="1125">
        <f t="shared" si="0"/>
        <v>633.52</v>
      </c>
      <c r="E18" s="781">
        <f>F18+G18</f>
        <v>0</v>
      </c>
      <c r="F18" s="688"/>
      <c r="G18" s="688"/>
      <c r="H18" s="1127">
        <f t="shared" si="1"/>
        <v>633.52</v>
      </c>
      <c r="I18" s="1133">
        <f>'1 квартал'!I18+'2 квартал'!I18+113.181+374.472</f>
        <v>633.52</v>
      </c>
      <c r="J18" s="1133">
        <f>'1 квартал'!J18+'2 квартал'!J18</f>
        <v>0</v>
      </c>
      <c r="K18" s="1129">
        <f t="shared" si="2"/>
        <v>0</v>
      </c>
      <c r="L18" s="1134">
        <f>'1 квартал'!L18+'2 квартал'!L18</f>
        <v>0</v>
      </c>
      <c r="M18" s="1134">
        <f>'1 квартал'!M18+'2 квартал'!M18</f>
        <v>0</v>
      </c>
      <c r="N18" s="781">
        <f t="shared" si="4"/>
        <v>0</v>
      </c>
      <c r="O18" s="857"/>
      <c r="P18" s="781">
        <f t="shared" si="5"/>
        <v>0</v>
      </c>
      <c r="Q18" s="781"/>
      <c r="R18" s="781">
        <f t="shared" si="6"/>
        <v>0</v>
      </c>
      <c r="S18" s="781"/>
      <c r="T18" s="781"/>
      <c r="U18" s="781">
        <f t="shared" si="7"/>
        <v>0</v>
      </c>
      <c r="V18" s="781"/>
      <c r="W18" s="781">
        <f t="shared" si="8"/>
        <v>0</v>
      </c>
      <c r="X18" s="781"/>
    </row>
    <row r="19" spans="1:24">
      <c r="A19" s="856" t="s">
        <v>28</v>
      </c>
      <c r="B19" s="856" t="s">
        <v>29</v>
      </c>
      <c r="C19" s="1130" t="s">
        <v>24</v>
      </c>
      <c r="D19" s="1125">
        <f t="shared" si="0"/>
        <v>0.47683000000000003</v>
      </c>
      <c r="E19" s="781">
        <f>F19+G19</f>
        <v>0</v>
      </c>
      <c r="F19" s="688"/>
      <c r="G19" s="688"/>
      <c r="H19" s="1127">
        <f t="shared" si="1"/>
        <v>0.33333000000000002</v>
      </c>
      <c r="I19" s="1133">
        <f>'1 квартал'!I19+'2 квартал'!I19+0.116+0.087</f>
        <v>0.33333000000000002</v>
      </c>
      <c r="J19" s="1133">
        <f>'1 квартал'!J19+'2 квартал'!J19</f>
        <v>0</v>
      </c>
      <c r="K19" s="1129">
        <f t="shared" si="2"/>
        <v>0.14350000000000002</v>
      </c>
      <c r="L19" s="1134">
        <f>'1 квартал'!L19+'2 квартал'!L19+0.055+0.06</f>
        <v>0.14150000000000001</v>
      </c>
      <c r="M19" s="1134">
        <v>2E-3</v>
      </c>
      <c r="N19" s="781">
        <f t="shared" si="4"/>
        <v>0</v>
      </c>
      <c r="O19" s="857"/>
      <c r="P19" s="781">
        <f t="shared" si="5"/>
        <v>0</v>
      </c>
      <c r="Q19" s="781"/>
      <c r="R19" s="781">
        <f t="shared" si="6"/>
        <v>0</v>
      </c>
      <c r="S19" s="781"/>
      <c r="T19" s="781"/>
      <c r="U19" s="781">
        <f t="shared" si="7"/>
        <v>0</v>
      </c>
      <c r="V19" s="781"/>
      <c r="W19" s="781">
        <f t="shared" si="8"/>
        <v>0</v>
      </c>
      <c r="X19" s="781"/>
    </row>
    <row r="20" spans="1:24">
      <c r="A20" s="856"/>
      <c r="B20" s="856"/>
      <c r="C20" s="1130" t="s">
        <v>21</v>
      </c>
      <c r="D20" s="1125">
        <f t="shared" si="0"/>
        <v>234.34100000000001</v>
      </c>
      <c r="E20" s="781">
        <f>F20+G20</f>
        <v>0</v>
      </c>
      <c r="F20" s="688"/>
      <c r="G20" s="688"/>
      <c r="H20" s="1127">
        <f t="shared" si="1"/>
        <v>163.83600000000001</v>
      </c>
      <c r="I20" s="1133">
        <f>'1 квартал'!I20+'2 квартал'!I20+63.76+41.259</f>
        <v>163.83600000000001</v>
      </c>
      <c r="J20" s="1133">
        <f>'1 квартал'!J20+'2 квартал'!J20</f>
        <v>0</v>
      </c>
      <c r="K20" s="1129">
        <f t="shared" si="2"/>
        <v>70.504999999999995</v>
      </c>
      <c r="L20" s="1134">
        <f>'1 квартал'!L20+'2 квартал'!L20+30.279+29.897</f>
        <v>69.920999999999992</v>
      </c>
      <c r="M20" s="1134">
        <v>0.58399999999999996</v>
      </c>
      <c r="N20" s="781">
        <f t="shared" si="4"/>
        <v>0</v>
      </c>
      <c r="O20" s="857"/>
      <c r="P20" s="781">
        <f t="shared" si="5"/>
        <v>0</v>
      </c>
      <c r="Q20" s="781"/>
      <c r="R20" s="781">
        <f t="shared" si="6"/>
        <v>0</v>
      </c>
      <c r="S20" s="781"/>
      <c r="T20" s="781"/>
      <c r="U20" s="781">
        <f t="shared" si="7"/>
        <v>0</v>
      </c>
      <c r="V20" s="781"/>
      <c r="W20" s="781">
        <f t="shared" si="8"/>
        <v>0</v>
      </c>
      <c r="X20" s="781"/>
    </row>
    <row r="21" spans="1:24">
      <c r="A21" s="856" t="s">
        <v>30</v>
      </c>
      <c r="B21" s="856" t="s">
        <v>31</v>
      </c>
      <c r="C21" s="1130" t="s">
        <v>21</v>
      </c>
      <c r="D21" s="1125">
        <f t="shared" si="0"/>
        <v>0</v>
      </c>
      <c r="E21" s="781">
        <v>0</v>
      </c>
      <c r="F21" s="781">
        <v>0</v>
      </c>
      <c r="G21" s="781">
        <v>0</v>
      </c>
      <c r="H21" s="1127">
        <f t="shared" si="1"/>
        <v>0</v>
      </c>
      <c r="I21" s="1133">
        <f>'1 квартал'!I21+'2 квартал'!I21</f>
        <v>0</v>
      </c>
      <c r="J21" s="1133">
        <f>'1 квартал'!J21+'2 квартал'!J21</f>
        <v>0</v>
      </c>
      <c r="K21" s="1129">
        <f t="shared" si="2"/>
        <v>0</v>
      </c>
      <c r="L21" s="1134">
        <f>'1 квартал'!L21+'2 квартал'!L21</f>
        <v>0</v>
      </c>
      <c r="M21" s="1134">
        <f>'1 квартал'!M21+'2 квартал'!M21</f>
        <v>0</v>
      </c>
      <c r="N21" s="781">
        <f t="shared" si="4"/>
        <v>0</v>
      </c>
      <c r="O21" s="857"/>
      <c r="P21" s="781">
        <f t="shared" si="5"/>
        <v>0</v>
      </c>
      <c r="Q21" s="781"/>
      <c r="R21" s="781">
        <f t="shared" si="6"/>
        <v>0</v>
      </c>
      <c r="S21" s="781"/>
      <c r="T21" s="781"/>
      <c r="U21" s="781">
        <f t="shared" si="7"/>
        <v>0</v>
      </c>
      <c r="V21" s="781"/>
      <c r="W21" s="781">
        <f t="shared" si="8"/>
        <v>0</v>
      </c>
      <c r="X21" s="781"/>
    </row>
    <row r="22" spans="1:24">
      <c r="A22" s="1135">
        <v>2</v>
      </c>
      <c r="B22" s="1136" t="s">
        <v>32</v>
      </c>
      <c r="C22" s="1137" t="s">
        <v>33</v>
      </c>
      <c r="D22" s="1125">
        <f t="shared" si="0"/>
        <v>5</v>
      </c>
      <c r="E22" s="661"/>
      <c r="F22" s="662"/>
      <c r="G22" s="662"/>
      <c r="H22" s="1127">
        <v>5</v>
      </c>
      <c r="I22" s="1138">
        <v>5</v>
      </c>
      <c r="J22" s="1139"/>
      <c r="K22" s="1129">
        <f t="shared" si="2"/>
        <v>0</v>
      </c>
      <c r="L22" s="1138">
        <v>0</v>
      </c>
      <c r="M22" s="662"/>
      <c r="N22" s="661">
        <f t="shared" si="4"/>
        <v>0</v>
      </c>
      <c r="O22" s="1140"/>
      <c r="P22" s="661">
        <f t="shared" si="5"/>
        <v>0</v>
      </c>
      <c r="Q22" s="661"/>
      <c r="R22" s="661">
        <f t="shared" si="6"/>
        <v>0</v>
      </c>
      <c r="S22" s="661"/>
      <c r="T22" s="661"/>
      <c r="U22" s="661">
        <f t="shared" si="7"/>
        <v>0</v>
      </c>
      <c r="V22" s="661"/>
      <c r="W22" s="661">
        <f t="shared" si="8"/>
        <v>0</v>
      </c>
      <c r="X22" s="661"/>
    </row>
    <row r="23" spans="1:24">
      <c r="A23" s="1141"/>
      <c r="B23" s="1136" t="s">
        <v>34</v>
      </c>
      <c r="C23" s="1137" t="s">
        <v>21</v>
      </c>
      <c r="D23" s="1125">
        <f t="shared" si="0"/>
        <v>1478.807</v>
      </c>
      <c r="E23" s="661"/>
      <c r="F23" s="662"/>
      <c r="G23" s="662"/>
      <c r="H23" s="1127">
        <f t="shared" si="1"/>
        <v>1478.807</v>
      </c>
      <c r="I23" s="1138">
        <f>I25+I27+I29+I31+I32</f>
        <v>1478.807</v>
      </c>
      <c r="J23" s="1139">
        <f>J25+J27+J29+J31+J32</f>
        <v>0</v>
      </c>
      <c r="K23" s="1129">
        <f t="shared" si="2"/>
        <v>0</v>
      </c>
      <c r="L23" s="1138">
        <f>L25+L27+L29+L31+L32</f>
        <v>0</v>
      </c>
      <c r="M23" s="662">
        <f>M25+M27+M29+M31+M32</f>
        <v>0</v>
      </c>
      <c r="N23" s="661">
        <f t="shared" si="4"/>
        <v>0</v>
      </c>
      <c r="O23" s="1140"/>
      <c r="P23" s="661">
        <f t="shared" si="5"/>
        <v>0</v>
      </c>
      <c r="Q23" s="661"/>
      <c r="R23" s="661">
        <f t="shared" si="6"/>
        <v>0</v>
      </c>
      <c r="S23" s="661"/>
      <c r="T23" s="661"/>
      <c r="U23" s="661">
        <f t="shared" si="7"/>
        <v>0</v>
      </c>
      <c r="V23" s="661"/>
      <c r="W23" s="661">
        <f t="shared" si="8"/>
        <v>0</v>
      </c>
      <c r="X23" s="661"/>
    </row>
    <row r="24" spans="1:24">
      <c r="A24" s="1142" t="s">
        <v>35</v>
      </c>
      <c r="B24" s="1143" t="s">
        <v>36</v>
      </c>
      <c r="C24" s="1144" t="s">
        <v>37</v>
      </c>
      <c r="D24" s="1125">
        <f t="shared" si="0"/>
        <v>159.58100000000002</v>
      </c>
      <c r="E24" s="781"/>
      <c r="F24" s="688"/>
      <c r="G24" s="688"/>
      <c r="H24" s="1127">
        <f t="shared" si="1"/>
        <v>159.58100000000002</v>
      </c>
      <c r="I24" s="1145">
        <f>141.453+18.128</f>
        <v>159.58100000000002</v>
      </c>
      <c r="J24" s="1146"/>
      <c r="K24" s="1129">
        <f t="shared" si="2"/>
        <v>0</v>
      </c>
      <c r="L24" s="1145"/>
      <c r="M24" s="1147"/>
      <c r="N24" s="781">
        <f t="shared" si="4"/>
        <v>0</v>
      </c>
      <c r="O24" s="857"/>
      <c r="P24" s="781">
        <f t="shared" si="5"/>
        <v>0</v>
      </c>
      <c r="Q24" s="781"/>
      <c r="R24" s="781">
        <f t="shared" si="6"/>
        <v>0</v>
      </c>
      <c r="S24" s="781"/>
      <c r="T24" s="781"/>
      <c r="U24" s="781">
        <f t="shared" si="7"/>
        <v>0</v>
      </c>
      <c r="V24" s="781"/>
      <c r="W24" s="781">
        <f t="shared" si="8"/>
        <v>0</v>
      </c>
      <c r="X24" s="781"/>
    </row>
    <row r="25" spans="1:24">
      <c r="A25" s="1142"/>
      <c r="B25" s="1143"/>
      <c r="C25" s="1144" t="s">
        <v>21</v>
      </c>
      <c r="D25" s="1125">
        <f t="shared" si="0"/>
        <v>943.16</v>
      </c>
      <c r="E25" s="781"/>
      <c r="F25" s="688"/>
      <c r="G25" s="688"/>
      <c r="H25" s="1127">
        <f t="shared" si="1"/>
        <v>943.16</v>
      </c>
      <c r="I25" s="1145">
        <f>865.519+77.641</f>
        <v>943.16</v>
      </c>
      <c r="J25" s="1146"/>
      <c r="K25" s="1129">
        <f t="shared" si="2"/>
        <v>0</v>
      </c>
      <c r="L25" s="1145"/>
      <c r="M25" s="1147"/>
      <c r="N25" s="781">
        <f t="shared" si="4"/>
        <v>0</v>
      </c>
      <c r="O25" s="857"/>
      <c r="P25" s="781">
        <f t="shared" si="5"/>
        <v>0</v>
      </c>
      <c r="Q25" s="781"/>
      <c r="R25" s="781">
        <f t="shared" si="6"/>
        <v>0</v>
      </c>
      <c r="S25" s="781"/>
      <c r="T25" s="781"/>
      <c r="U25" s="781">
        <f t="shared" si="7"/>
        <v>0</v>
      </c>
      <c r="V25" s="781"/>
      <c r="W25" s="781">
        <f t="shared" si="8"/>
        <v>0</v>
      </c>
      <c r="X25" s="781"/>
    </row>
    <row r="26" spans="1:24">
      <c r="A26" s="1142" t="s">
        <v>38</v>
      </c>
      <c r="B26" s="1143" t="s">
        <v>39</v>
      </c>
      <c r="C26" s="1144" t="s">
        <v>40</v>
      </c>
      <c r="D26" s="1125">
        <f t="shared" si="0"/>
        <v>423.2</v>
      </c>
      <c r="E26" s="781"/>
      <c r="F26" s="688"/>
      <c r="G26" s="688"/>
      <c r="H26" s="1127">
        <f>I26</f>
        <v>423.2</v>
      </c>
      <c r="I26" s="1145">
        <v>423.2</v>
      </c>
      <c r="J26" s="1146"/>
      <c r="K26" s="1129">
        <f t="shared" si="2"/>
        <v>0</v>
      </c>
      <c r="L26" s="1145"/>
      <c r="M26" s="1147"/>
      <c r="N26" s="781">
        <f t="shared" si="4"/>
        <v>0</v>
      </c>
      <c r="O26" s="857"/>
      <c r="P26" s="781">
        <f t="shared" si="5"/>
        <v>0</v>
      </c>
      <c r="Q26" s="781"/>
      <c r="R26" s="781">
        <f t="shared" si="6"/>
        <v>0</v>
      </c>
      <c r="S26" s="781"/>
      <c r="T26" s="781"/>
      <c r="U26" s="781">
        <f t="shared" si="7"/>
        <v>0</v>
      </c>
      <c r="V26" s="781"/>
      <c r="W26" s="781">
        <f t="shared" si="8"/>
        <v>0</v>
      </c>
      <c r="X26" s="781"/>
    </row>
    <row r="27" spans="1:24">
      <c r="A27" s="1142"/>
      <c r="B27" s="1143" t="s">
        <v>41</v>
      </c>
      <c r="C27" s="1144" t="s">
        <v>21</v>
      </c>
      <c r="D27" s="1125">
        <f t="shared" si="0"/>
        <v>476.90300000000002</v>
      </c>
      <c r="E27" s="781"/>
      <c r="F27" s="688"/>
      <c r="G27" s="688"/>
      <c r="H27" s="1127">
        <f t="shared" si="1"/>
        <v>476.90300000000002</v>
      </c>
      <c r="I27" s="1145">
        <v>476.90300000000002</v>
      </c>
      <c r="J27" s="1146"/>
      <c r="K27" s="1129">
        <f t="shared" si="2"/>
        <v>0</v>
      </c>
      <c r="L27" s="1145"/>
      <c r="M27" s="1147"/>
      <c r="N27" s="781">
        <f t="shared" si="4"/>
        <v>0</v>
      </c>
      <c r="O27" s="857"/>
      <c r="P27" s="781">
        <f t="shared" si="5"/>
        <v>0</v>
      </c>
      <c r="Q27" s="781"/>
      <c r="R27" s="781">
        <f t="shared" si="6"/>
        <v>0</v>
      </c>
      <c r="S27" s="781"/>
      <c r="T27" s="781"/>
      <c r="U27" s="781">
        <f t="shared" si="7"/>
        <v>0</v>
      </c>
      <c r="V27" s="781"/>
      <c r="W27" s="781">
        <f t="shared" si="8"/>
        <v>0</v>
      </c>
      <c r="X27" s="781"/>
    </row>
    <row r="28" spans="1:24">
      <c r="A28" s="1142" t="s">
        <v>42</v>
      </c>
      <c r="B28" s="1143" t="s">
        <v>43</v>
      </c>
      <c r="C28" s="1144" t="s">
        <v>40</v>
      </c>
      <c r="D28" s="1125">
        <f t="shared" si="0"/>
        <v>0</v>
      </c>
      <c r="E28" s="781"/>
      <c r="F28" s="688"/>
      <c r="G28" s="688"/>
      <c r="H28" s="1127">
        <f t="shared" si="1"/>
        <v>0</v>
      </c>
      <c r="I28" s="1145"/>
      <c r="J28" s="1146"/>
      <c r="K28" s="1129">
        <f t="shared" si="2"/>
        <v>0</v>
      </c>
      <c r="L28" s="1145"/>
      <c r="M28" s="1147"/>
      <c r="N28" s="781">
        <f t="shared" si="4"/>
        <v>0</v>
      </c>
      <c r="O28" s="857"/>
      <c r="P28" s="781">
        <f t="shared" si="5"/>
        <v>0</v>
      </c>
      <c r="Q28" s="781"/>
      <c r="R28" s="781">
        <f t="shared" si="6"/>
        <v>0</v>
      </c>
      <c r="S28" s="781"/>
      <c r="T28" s="781"/>
      <c r="U28" s="781">
        <f t="shared" si="7"/>
        <v>0</v>
      </c>
      <c r="V28" s="781"/>
      <c r="W28" s="781">
        <f t="shared" si="8"/>
        <v>0</v>
      </c>
      <c r="X28" s="781"/>
    </row>
    <row r="29" spans="1:24">
      <c r="A29" s="1142"/>
      <c r="B29" s="1143" t="s">
        <v>44</v>
      </c>
      <c r="C29" s="1144" t="s">
        <v>21</v>
      </c>
      <c r="D29" s="1125">
        <f t="shared" si="0"/>
        <v>0</v>
      </c>
      <c r="E29" s="781"/>
      <c r="F29" s="688"/>
      <c r="G29" s="688"/>
      <c r="H29" s="1127">
        <f t="shared" si="1"/>
        <v>0</v>
      </c>
      <c r="I29" s="1145"/>
      <c r="J29" s="1146"/>
      <c r="K29" s="1129">
        <f t="shared" si="2"/>
        <v>0</v>
      </c>
      <c r="L29" s="1145"/>
      <c r="M29" s="1147"/>
      <c r="N29" s="781">
        <f t="shared" si="4"/>
        <v>0</v>
      </c>
      <c r="O29" s="857"/>
      <c r="P29" s="781">
        <f t="shared" si="5"/>
        <v>0</v>
      </c>
      <c r="Q29" s="781"/>
      <c r="R29" s="781">
        <f t="shared" si="6"/>
        <v>0</v>
      </c>
      <c r="S29" s="781"/>
      <c r="T29" s="781"/>
      <c r="U29" s="781">
        <f t="shared" si="7"/>
        <v>0</v>
      </c>
      <c r="V29" s="781"/>
      <c r="W29" s="781">
        <f t="shared" si="8"/>
        <v>0</v>
      </c>
      <c r="X29" s="781"/>
    </row>
    <row r="30" spans="1:24">
      <c r="A30" s="1142" t="s">
        <v>45</v>
      </c>
      <c r="B30" s="1143" t="s">
        <v>46</v>
      </c>
      <c r="C30" s="1144" t="s">
        <v>47</v>
      </c>
      <c r="D30" s="1125">
        <f t="shared" si="0"/>
        <v>0</v>
      </c>
      <c r="E30" s="781"/>
      <c r="F30" s="688"/>
      <c r="G30" s="688"/>
      <c r="H30" s="1127">
        <f t="shared" si="1"/>
        <v>0</v>
      </c>
      <c r="I30" s="1145"/>
      <c r="J30" s="1146"/>
      <c r="K30" s="1129">
        <f t="shared" si="2"/>
        <v>0</v>
      </c>
      <c r="L30" s="1145"/>
      <c r="M30" s="1147"/>
      <c r="N30" s="781">
        <f t="shared" si="4"/>
        <v>0</v>
      </c>
      <c r="O30" s="857"/>
      <c r="P30" s="781">
        <f t="shared" si="5"/>
        <v>0</v>
      </c>
      <c r="Q30" s="781"/>
      <c r="R30" s="781">
        <f t="shared" si="6"/>
        <v>0</v>
      </c>
      <c r="S30" s="781"/>
      <c r="T30" s="781"/>
      <c r="U30" s="781">
        <f t="shared" si="7"/>
        <v>0</v>
      </c>
      <c r="V30" s="781"/>
      <c r="W30" s="781">
        <f t="shared" si="8"/>
        <v>0</v>
      </c>
      <c r="X30" s="781"/>
    </row>
    <row r="31" spans="1:24">
      <c r="A31" s="1142"/>
      <c r="B31" s="1143"/>
      <c r="C31" s="1144" t="s">
        <v>21</v>
      </c>
      <c r="D31" s="1125">
        <f t="shared" si="0"/>
        <v>0</v>
      </c>
      <c r="E31" s="781"/>
      <c r="F31" s="688"/>
      <c r="G31" s="688"/>
      <c r="H31" s="1127">
        <f t="shared" si="1"/>
        <v>0</v>
      </c>
      <c r="I31" s="1145"/>
      <c r="J31" s="1146"/>
      <c r="K31" s="1129">
        <f t="shared" si="2"/>
        <v>0</v>
      </c>
      <c r="L31" s="1145"/>
      <c r="M31" s="1147"/>
      <c r="N31" s="781">
        <f t="shared" si="4"/>
        <v>0</v>
      </c>
      <c r="O31" s="857"/>
      <c r="P31" s="781">
        <f t="shared" si="5"/>
        <v>0</v>
      </c>
      <c r="Q31" s="781"/>
      <c r="R31" s="781">
        <f t="shared" si="6"/>
        <v>0</v>
      </c>
      <c r="S31" s="781"/>
      <c r="T31" s="781"/>
      <c r="U31" s="781">
        <f t="shared" si="7"/>
        <v>0</v>
      </c>
      <c r="V31" s="781"/>
      <c r="W31" s="781">
        <f t="shared" si="8"/>
        <v>0</v>
      </c>
      <c r="X31" s="781"/>
    </row>
    <row r="32" spans="1:24" ht="22.5" customHeight="1">
      <c r="A32" s="1142" t="s">
        <v>48</v>
      </c>
      <c r="B32" s="1148" t="s">
        <v>49</v>
      </c>
      <c r="C32" s="1144" t="s">
        <v>21</v>
      </c>
      <c r="D32" s="1125">
        <f t="shared" si="0"/>
        <v>58.744</v>
      </c>
      <c r="E32" s="781"/>
      <c r="F32" s="688"/>
      <c r="G32" s="688"/>
      <c r="H32" s="1127">
        <f t="shared" si="1"/>
        <v>58.744</v>
      </c>
      <c r="I32" s="1145">
        <f>55.084+3.66</f>
        <v>58.744</v>
      </c>
      <c r="J32" s="1146"/>
      <c r="K32" s="1129">
        <f t="shared" si="2"/>
        <v>0</v>
      </c>
      <c r="L32" s="1145"/>
      <c r="M32" s="1147"/>
      <c r="N32" s="781">
        <f t="shared" si="4"/>
        <v>0</v>
      </c>
      <c r="O32" s="857"/>
      <c r="P32" s="781">
        <f t="shared" si="5"/>
        <v>0</v>
      </c>
      <c r="Q32" s="781"/>
      <c r="R32" s="781">
        <f t="shared" si="6"/>
        <v>0</v>
      </c>
      <c r="S32" s="781"/>
      <c r="T32" s="781"/>
      <c r="U32" s="781">
        <f t="shared" si="7"/>
        <v>0</v>
      </c>
      <c r="V32" s="781"/>
      <c r="W32" s="781">
        <f t="shared" si="8"/>
        <v>0</v>
      </c>
      <c r="X32" s="781"/>
    </row>
    <row r="33" spans="1:24">
      <c r="A33" s="1149">
        <v>3</v>
      </c>
      <c r="B33" s="858" t="s">
        <v>50</v>
      </c>
      <c r="C33" s="1130" t="s">
        <v>51</v>
      </c>
      <c r="D33" s="1125">
        <f t="shared" si="0"/>
        <v>3.8996</v>
      </c>
      <c r="E33" s="781">
        <f t="shared" ref="E33:E39" si="9">F33+G33</f>
        <v>0</v>
      </c>
      <c r="F33" s="688"/>
      <c r="G33" s="688"/>
      <c r="H33" s="1127">
        <f t="shared" si="1"/>
        <v>2.9765999999999999</v>
      </c>
      <c r="I33" s="1134">
        <f>'1 квартал'!I33+'2 квартал'!I33+0.348+1.513</f>
        <v>2.8546</v>
      </c>
      <c r="J33" s="1134">
        <f>'1 квартал'!J33+'2 квартал'!J33+0.122</f>
        <v>0.122</v>
      </c>
      <c r="K33" s="1129">
        <f t="shared" si="2"/>
        <v>0.92300000000000004</v>
      </c>
      <c r="L33" s="1134">
        <f>'1 квартал'!L33+'2 квартал'!L33+0.209+0.271</f>
        <v>0.83100000000000007</v>
      </c>
      <c r="M33" s="1134">
        <f>'1 квартал'!M33+'2 квартал'!M33+0.092</f>
        <v>9.1999999999999998E-2</v>
      </c>
      <c r="N33" s="781">
        <v>0</v>
      </c>
      <c r="O33" s="857"/>
      <c r="P33" s="781">
        <f t="shared" si="5"/>
        <v>0</v>
      </c>
      <c r="Q33" s="781"/>
      <c r="R33" s="781">
        <f t="shared" si="6"/>
        <v>0</v>
      </c>
      <c r="S33" s="781"/>
      <c r="T33" s="781"/>
      <c r="U33" s="781">
        <f t="shared" si="7"/>
        <v>0</v>
      </c>
      <c r="V33" s="781"/>
      <c r="W33" s="781">
        <f t="shared" si="8"/>
        <v>0</v>
      </c>
      <c r="X33" s="781"/>
    </row>
    <row r="34" spans="1:24">
      <c r="A34" s="856"/>
      <c r="B34" s="858" t="s">
        <v>52</v>
      </c>
      <c r="C34" s="1130" t="s">
        <v>21</v>
      </c>
      <c r="D34" s="1125">
        <f t="shared" si="0"/>
        <v>2590.3029999999999</v>
      </c>
      <c r="E34" s="781">
        <f t="shared" si="9"/>
        <v>0</v>
      </c>
      <c r="F34" s="688"/>
      <c r="G34" s="688"/>
      <c r="H34" s="1127">
        <f t="shared" si="1"/>
        <v>1952.0349999999999</v>
      </c>
      <c r="I34" s="1134">
        <f>'1 квартал'!I34+'2 квартал'!I34+257.038+525.502</f>
        <v>1349.579</v>
      </c>
      <c r="J34" s="1134">
        <f>'1 квартал'!J34+'2 квартал'!J34+602.456</f>
        <v>602.45600000000002</v>
      </c>
      <c r="K34" s="1129">
        <f t="shared" si="2"/>
        <v>638.26800000000003</v>
      </c>
      <c r="L34" s="1134">
        <f>'1 квартал'!L34+'2 квартал'!L34+162.83+186.491</f>
        <v>542.76</v>
      </c>
      <c r="M34" s="1134">
        <f>'1 квартал'!M34+'2 квартал'!M34+95.508</f>
        <v>95.507999999999996</v>
      </c>
      <c r="N34" s="781">
        <v>0</v>
      </c>
      <c r="O34" s="857"/>
      <c r="P34" s="781">
        <f t="shared" si="5"/>
        <v>0</v>
      </c>
      <c r="Q34" s="781"/>
      <c r="R34" s="781">
        <f t="shared" si="6"/>
        <v>0</v>
      </c>
      <c r="S34" s="781"/>
      <c r="T34" s="781"/>
      <c r="U34" s="781">
        <f t="shared" si="7"/>
        <v>0</v>
      </c>
      <c r="V34" s="781"/>
      <c r="W34" s="781">
        <f t="shared" si="8"/>
        <v>0</v>
      </c>
      <c r="X34" s="781"/>
    </row>
    <row r="35" spans="1:24">
      <c r="A35" s="1149">
        <v>4</v>
      </c>
      <c r="B35" s="858" t="s">
        <v>53</v>
      </c>
      <c r="C35" s="1130" t="s">
        <v>24</v>
      </c>
      <c r="D35" s="1125">
        <f t="shared" si="0"/>
        <v>0.78300000000000003</v>
      </c>
      <c r="E35" s="781">
        <f t="shared" si="9"/>
        <v>0</v>
      </c>
      <c r="F35" s="688"/>
      <c r="G35" s="688"/>
      <c r="H35" s="1127">
        <f t="shared" si="1"/>
        <v>0.78300000000000003</v>
      </c>
      <c r="I35" s="1134">
        <f>'1 квартал'!I35+'2 квартал'!I35+0.242+0.385</f>
        <v>0.78300000000000003</v>
      </c>
      <c r="J35" s="1134">
        <f>'1 квартал'!J35+'2 квартал'!J35</f>
        <v>0</v>
      </c>
      <c r="K35" s="1129">
        <f t="shared" si="2"/>
        <v>0</v>
      </c>
      <c r="L35" s="1134">
        <f>'1 квартал'!L35+'2 квартал'!L35</f>
        <v>0</v>
      </c>
      <c r="M35" s="1134">
        <f>'1 квартал'!M35+'2 квартал'!M35</f>
        <v>0</v>
      </c>
      <c r="N35" s="781">
        <f t="shared" ref="N35:N71" si="10">O35</f>
        <v>0</v>
      </c>
      <c r="O35" s="857"/>
      <c r="P35" s="781">
        <f t="shared" si="5"/>
        <v>0</v>
      </c>
      <c r="Q35" s="781"/>
      <c r="R35" s="781">
        <f t="shared" si="6"/>
        <v>0</v>
      </c>
      <c r="S35" s="781"/>
      <c r="T35" s="781"/>
      <c r="U35" s="781">
        <f t="shared" si="7"/>
        <v>0</v>
      </c>
      <c r="V35" s="781"/>
      <c r="W35" s="781">
        <f t="shared" si="8"/>
        <v>0</v>
      </c>
      <c r="X35" s="781"/>
    </row>
    <row r="36" spans="1:24">
      <c r="A36" s="1150"/>
      <c r="B36" s="856"/>
      <c r="C36" s="1130" t="s">
        <v>21</v>
      </c>
      <c r="D36" s="1125">
        <f t="shared" si="0"/>
        <v>472.09800000000007</v>
      </c>
      <c r="E36" s="781">
        <f t="shared" si="9"/>
        <v>0</v>
      </c>
      <c r="F36" s="688"/>
      <c r="G36" s="688"/>
      <c r="H36" s="1127">
        <f t="shared" si="1"/>
        <v>472.09800000000007</v>
      </c>
      <c r="I36" s="1134">
        <f>286.357+185.741</f>
        <v>472.09800000000007</v>
      </c>
      <c r="J36" s="1134">
        <f>'1 квартал'!J36+'2 квартал'!J36</f>
        <v>0</v>
      </c>
      <c r="K36" s="1129">
        <f t="shared" si="2"/>
        <v>0</v>
      </c>
      <c r="L36" s="1134">
        <f>'1 квартал'!L36+'2 квартал'!L36</f>
        <v>0</v>
      </c>
      <c r="M36" s="1134">
        <f>'1 квартал'!M36+'2 квартал'!M36</f>
        <v>0</v>
      </c>
      <c r="N36" s="781">
        <f t="shared" si="10"/>
        <v>0</v>
      </c>
      <c r="O36" s="857"/>
      <c r="P36" s="781">
        <f t="shared" si="5"/>
        <v>0</v>
      </c>
      <c r="Q36" s="781"/>
      <c r="R36" s="781">
        <f t="shared" si="6"/>
        <v>0</v>
      </c>
      <c r="S36" s="781"/>
      <c r="T36" s="781"/>
      <c r="U36" s="781">
        <f t="shared" si="7"/>
        <v>0</v>
      </c>
      <c r="V36" s="781"/>
      <c r="W36" s="781">
        <f t="shared" si="8"/>
        <v>0</v>
      </c>
      <c r="X36" s="781"/>
    </row>
    <row r="37" spans="1:24">
      <c r="A37" s="1149">
        <v>5</v>
      </c>
      <c r="B37" s="858" t="s">
        <v>54</v>
      </c>
      <c r="C37" s="1130" t="s">
        <v>24</v>
      </c>
      <c r="D37" s="1125">
        <f t="shared" si="0"/>
        <v>92.301799999999986</v>
      </c>
      <c r="E37" s="781">
        <f t="shared" si="9"/>
        <v>0</v>
      </c>
      <c r="F37" s="688"/>
      <c r="G37" s="688"/>
      <c r="H37" s="1127">
        <f t="shared" si="1"/>
        <v>91.870799999999988</v>
      </c>
      <c r="I37" s="1134">
        <f>'1 квартал'!I37+'2 квартал'!I37+85.648+4.136</f>
        <v>91.870799999999988</v>
      </c>
      <c r="J37" s="1134">
        <f>'1 квартал'!J37+'2 квартал'!J37</f>
        <v>0</v>
      </c>
      <c r="K37" s="1129">
        <f t="shared" si="2"/>
        <v>0.43099999999999999</v>
      </c>
      <c r="L37" s="1134">
        <f>'1 квартал'!L37+'2 квартал'!L37+0.431</f>
        <v>0.43099999999999999</v>
      </c>
      <c r="M37" s="1134">
        <f>'1 квартал'!M37+'2 квартал'!M37</f>
        <v>0</v>
      </c>
      <c r="N37" s="781">
        <f t="shared" si="10"/>
        <v>0</v>
      </c>
      <c r="O37" s="857"/>
      <c r="P37" s="781">
        <f t="shared" si="5"/>
        <v>0</v>
      </c>
      <c r="Q37" s="781"/>
      <c r="R37" s="781">
        <f t="shared" si="6"/>
        <v>0</v>
      </c>
      <c r="S37" s="781"/>
      <c r="T37" s="781"/>
      <c r="U37" s="781">
        <f t="shared" si="7"/>
        <v>0</v>
      </c>
      <c r="V37" s="781"/>
      <c r="W37" s="781">
        <f t="shared" si="8"/>
        <v>0</v>
      </c>
      <c r="X37" s="781"/>
    </row>
    <row r="38" spans="1:24">
      <c r="A38" s="1150"/>
      <c r="B38" s="858" t="s">
        <v>55</v>
      </c>
      <c r="C38" s="1130" t="s">
        <v>56</v>
      </c>
      <c r="D38" s="1125">
        <f t="shared" si="0"/>
        <v>17</v>
      </c>
      <c r="E38" s="781">
        <f t="shared" si="9"/>
        <v>0</v>
      </c>
      <c r="F38" s="688"/>
      <c r="G38" s="688"/>
      <c r="H38" s="1127">
        <f t="shared" si="1"/>
        <v>16</v>
      </c>
      <c r="I38" s="1134">
        <f>'1 квартал'!I38+'2 квартал'!I38+1+10</f>
        <v>16</v>
      </c>
      <c r="J38" s="1134">
        <f>'1 квартал'!J38+'2 квартал'!J38</f>
        <v>0</v>
      </c>
      <c r="K38" s="1129">
        <f t="shared" si="2"/>
        <v>1</v>
      </c>
      <c r="L38" s="1134">
        <f>'1 квартал'!L38+'2 квартал'!L38+1</f>
        <v>1</v>
      </c>
      <c r="M38" s="1134">
        <f>'1 квартал'!M38+'2 квартал'!M38</f>
        <v>0</v>
      </c>
      <c r="N38" s="781">
        <f t="shared" si="10"/>
        <v>0</v>
      </c>
      <c r="O38" s="857"/>
      <c r="P38" s="781">
        <f t="shared" si="5"/>
        <v>0</v>
      </c>
      <c r="Q38" s="781"/>
      <c r="R38" s="781">
        <f t="shared" si="6"/>
        <v>0</v>
      </c>
      <c r="S38" s="781"/>
      <c r="T38" s="781"/>
      <c r="U38" s="781">
        <f t="shared" si="7"/>
        <v>0</v>
      </c>
      <c r="V38" s="781"/>
      <c r="W38" s="781">
        <f t="shared" si="8"/>
        <v>0</v>
      </c>
      <c r="X38" s="781"/>
    </row>
    <row r="39" spans="1:24">
      <c r="A39" s="1150"/>
      <c r="B39" s="858"/>
      <c r="C39" s="1130" t="s">
        <v>21</v>
      </c>
      <c r="D39" s="1125">
        <f t="shared" si="0"/>
        <v>2249.2039999999997</v>
      </c>
      <c r="E39" s="781">
        <f t="shared" si="9"/>
        <v>0</v>
      </c>
      <c r="F39" s="688"/>
      <c r="G39" s="688"/>
      <c r="H39" s="1127">
        <f t="shared" si="1"/>
        <v>2146.3989999999999</v>
      </c>
      <c r="I39" s="1134">
        <f>'1 квартал'!I39+'2 квартал'!I39+71.414+1417.933</f>
        <v>2146.3989999999999</v>
      </c>
      <c r="J39" s="1134">
        <f>'1 квартал'!J39+'2 квартал'!J39</f>
        <v>0</v>
      </c>
      <c r="K39" s="1129">
        <f t="shared" si="2"/>
        <v>102.80500000000001</v>
      </c>
      <c r="L39" s="1134">
        <f>'1 квартал'!L39+'2 квартал'!L39+102.805</f>
        <v>102.80500000000001</v>
      </c>
      <c r="M39" s="1134">
        <f>'1 квартал'!M39+'2 квартал'!M39</f>
        <v>0</v>
      </c>
      <c r="N39" s="781">
        <f t="shared" si="10"/>
        <v>0</v>
      </c>
      <c r="O39" s="857"/>
      <c r="P39" s="781">
        <f t="shared" si="5"/>
        <v>0</v>
      </c>
      <c r="Q39" s="781"/>
      <c r="R39" s="781">
        <f t="shared" si="6"/>
        <v>0</v>
      </c>
      <c r="S39" s="781"/>
      <c r="T39" s="781"/>
      <c r="U39" s="781">
        <f t="shared" si="7"/>
        <v>0</v>
      </c>
      <c r="V39" s="781"/>
      <c r="W39" s="781">
        <f t="shared" si="8"/>
        <v>0</v>
      </c>
      <c r="X39" s="781"/>
    </row>
    <row r="40" spans="1:24" ht="33" customHeight="1">
      <c r="A40" s="1150" t="s">
        <v>57</v>
      </c>
      <c r="B40" s="1151" t="s">
        <v>58</v>
      </c>
      <c r="C40" s="1130" t="s">
        <v>24</v>
      </c>
      <c r="D40" s="1125">
        <f t="shared" si="0"/>
        <v>0.16</v>
      </c>
      <c r="E40" s="781"/>
      <c r="F40" s="688"/>
      <c r="G40" s="688"/>
      <c r="H40" s="1127">
        <f t="shared" si="1"/>
        <v>0.13200000000000001</v>
      </c>
      <c r="I40" s="1134">
        <f>'1 квартал'!I40+'2 квартал'!I40+0.087+0.035</f>
        <v>0.13200000000000001</v>
      </c>
      <c r="J40" s="1134">
        <f>'1 квартал'!J40+'2 квартал'!J40</f>
        <v>0</v>
      </c>
      <c r="K40" s="1129">
        <f t="shared" si="2"/>
        <v>2.8000000000000001E-2</v>
      </c>
      <c r="L40" s="1134">
        <f>'1 квартал'!L40+'2 квартал'!L40+0.028</f>
        <v>2.8000000000000001E-2</v>
      </c>
      <c r="M40" s="1134">
        <f>'1 квартал'!M40+'2 квартал'!M40</f>
        <v>0</v>
      </c>
      <c r="N40" s="781">
        <f t="shared" si="10"/>
        <v>0</v>
      </c>
      <c r="O40" s="857"/>
      <c r="P40" s="781">
        <f t="shared" si="5"/>
        <v>0</v>
      </c>
      <c r="Q40" s="781"/>
      <c r="R40" s="781">
        <f t="shared" si="6"/>
        <v>0</v>
      </c>
      <c r="S40" s="781"/>
      <c r="T40" s="781"/>
      <c r="U40" s="781">
        <f t="shared" si="7"/>
        <v>0</v>
      </c>
      <c r="V40" s="781"/>
      <c r="W40" s="781"/>
      <c r="X40" s="781"/>
    </row>
    <row r="41" spans="1:24">
      <c r="A41" s="1150"/>
      <c r="B41" s="858"/>
      <c r="C41" s="1130" t="s">
        <v>21</v>
      </c>
      <c r="D41" s="1125">
        <f t="shared" si="0"/>
        <v>22.497999999999998</v>
      </c>
      <c r="E41" s="781"/>
      <c r="F41" s="688"/>
      <c r="G41" s="688"/>
      <c r="H41" s="1127">
        <f t="shared" si="1"/>
        <v>17.72</v>
      </c>
      <c r="I41" s="1134">
        <f>'1 квартал'!I41+'2 квартал'!I41+12.067+4.288</f>
        <v>17.72</v>
      </c>
      <c r="J41" s="1134">
        <f>'1 квартал'!J41+'2 квартал'!J41</f>
        <v>0</v>
      </c>
      <c r="K41" s="1129">
        <f t="shared" si="2"/>
        <v>4.7779999999999996</v>
      </c>
      <c r="L41" s="1134">
        <f>'1 квартал'!L41+'2 квартал'!L41+4.778</f>
        <v>4.7779999999999996</v>
      </c>
      <c r="M41" s="1134">
        <f>'1 квартал'!M41+'2 квартал'!M41</f>
        <v>0</v>
      </c>
      <c r="N41" s="781">
        <f t="shared" si="10"/>
        <v>0</v>
      </c>
      <c r="O41" s="857"/>
      <c r="P41" s="781">
        <f t="shared" si="5"/>
        <v>0</v>
      </c>
      <c r="Q41" s="781"/>
      <c r="R41" s="781">
        <f t="shared" si="6"/>
        <v>0</v>
      </c>
      <c r="S41" s="781"/>
      <c r="T41" s="781"/>
      <c r="U41" s="781">
        <f t="shared" si="7"/>
        <v>0</v>
      </c>
      <c r="V41" s="781"/>
      <c r="W41" s="781"/>
      <c r="X41" s="781"/>
    </row>
    <row r="42" spans="1:24" ht="38.25" customHeight="1">
      <c r="A42" s="857"/>
      <c r="B42" s="1151" t="s">
        <v>59</v>
      </c>
      <c r="C42" s="1130" t="s">
        <v>24</v>
      </c>
      <c r="D42" s="1125">
        <f t="shared" si="0"/>
        <v>0.29661500000000002</v>
      </c>
      <c r="E42" s="781"/>
      <c r="F42" s="688"/>
      <c r="G42" s="688"/>
      <c r="H42" s="1127">
        <f t="shared" si="1"/>
        <v>0.29161500000000001</v>
      </c>
      <c r="I42" s="1134">
        <f>'1 квартал'!I42+'2 квартал'!I42+0.01+0.079</f>
        <v>0.28661500000000001</v>
      </c>
      <c r="J42" s="1134">
        <f>'1 квартал'!J42+'2 квартал'!J42</f>
        <v>5.0000000000000001E-3</v>
      </c>
      <c r="K42" s="1129">
        <f t="shared" si="2"/>
        <v>5.0000000000000001E-3</v>
      </c>
      <c r="L42" s="1134">
        <f>'1 квартал'!L42+'2 квартал'!L42+0.005</f>
        <v>5.0000000000000001E-3</v>
      </c>
      <c r="M42" s="1134">
        <f>'1 квартал'!M42+'2 квартал'!M42</f>
        <v>0</v>
      </c>
      <c r="N42" s="781">
        <f t="shared" si="10"/>
        <v>0</v>
      </c>
      <c r="O42" s="857"/>
      <c r="P42" s="781">
        <f t="shared" si="5"/>
        <v>0</v>
      </c>
      <c r="Q42" s="781"/>
      <c r="R42" s="781">
        <f t="shared" si="6"/>
        <v>0</v>
      </c>
      <c r="S42" s="781"/>
      <c r="T42" s="781"/>
      <c r="U42" s="781">
        <f t="shared" si="7"/>
        <v>0</v>
      </c>
      <c r="V42" s="781"/>
      <c r="W42" s="781"/>
      <c r="X42" s="781"/>
    </row>
    <row r="43" spans="1:24">
      <c r="A43" s="1150"/>
      <c r="B43" s="858"/>
      <c r="C43" s="1130" t="s">
        <v>21</v>
      </c>
      <c r="D43" s="1125">
        <f t="shared" si="0"/>
        <v>373.83499999999998</v>
      </c>
      <c r="E43" s="781"/>
      <c r="F43" s="688"/>
      <c r="G43" s="688"/>
      <c r="H43" s="1127">
        <f t="shared" si="1"/>
        <v>363.2</v>
      </c>
      <c r="I43" s="1134">
        <f>'1 квартал'!I43+'2 квартал'!I43+10.166+122.192</f>
        <v>333.28800000000001</v>
      </c>
      <c r="J43" s="1134">
        <f>'1 квартал'!J43+'2 квартал'!J43</f>
        <v>29.911999999999999</v>
      </c>
      <c r="K43" s="1129">
        <f t="shared" si="2"/>
        <v>10.635</v>
      </c>
      <c r="L43" s="1134">
        <f>'1 квартал'!L43+'2 квартал'!L43+10.635</f>
        <v>10.635</v>
      </c>
      <c r="M43" s="1134">
        <f>'1 квартал'!M43+'2 квартал'!M43</f>
        <v>0</v>
      </c>
      <c r="N43" s="781">
        <f t="shared" si="10"/>
        <v>0</v>
      </c>
      <c r="O43" s="857"/>
      <c r="P43" s="781">
        <f t="shared" si="5"/>
        <v>0</v>
      </c>
      <c r="Q43" s="781"/>
      <c r="R43" s="781">
        <f t="shared" si="6"/>
        <v>0</v>
      </c>
      <c r="S43" s="781"/>
      <c r="T43" s="781"/>
      <c r="U43" s="781">
        <f t="shared" si="7"/>
        <v>0</v>
      </c>
      <c r="V43" s="781"/>
      <c r="W43" s="781"/>
      <c r="X43" s="781"/>
    </row>
    <row r="44" spans="1:24">
      <c r="A44" s="1149">
        <v>7</v>
      </c>
      <c r="B44" s="858" t="s">
        <v>60</v>
      </c>
      <c r="C44" s="1130" t="s">
        <v>47</v>
      </c>
      <c r="D44" s="1125">
        <f t="shared" si="0"/>
        <v>119</v>
      </c>
      <c r="E44" s="781">
        <f t="shared" ref="E44:E59" si="11">F44+G44</f>
        <v>0</v>
      </c>
      <c r="F44" s="688"/>
      <c r="G44" s="688"/>
      <c r="H44" s="1127">
        <f t="shared" si="1"/>
        <v>119</v>
      </c>
      <c r="I44" s="1134">
        <f>'1 квартал'!I44+'2 квартал'!I44+41+23</f>
        <v>119</v>
      </c>
      <c r="J44" s="1134">
        <f>'1 квартал'!J44+'2 квартал'!J44</f>
        <v>0</v>
      </c>
      <c r="K44" s="1129">
        <f t="shared" si="2"/>
        <v>0</v>
      </c>
      <c r="L44" s="1134">
        <f>'1 квартал'!L44+'2 квартал'!L44</f>
        <v>0</v>
      </c>
      <c r="M44" s="1134">
        <f>'1 квартал'!M44+'2 квартал'!M44</f>
        <v>0</v>
      </c>
      <c r="N44" s="781">
        <f t="shared" si="10"/>
        <v>0</v>
      </c>
      <c r="O44" s="857"/>
      <c r="P44" s="781">
        <f t="shared" si="5"/>
        <v>0</v>
      </c>
      <c r="Q44" s="781"/>
      <c r="R44" s="781">
        <f t="shared" si="6"/>
        <v>0</v>
      </c>
      <c r="S44" s="781"/>
      <c r="T44" s="781"/>
      <c r="U44" s="781">
        <f t="shared" si="7"/>
        <v>0</v>
      </c>
      <c r="V44" s="781"/>
      <c r="W44" s="781">
        <f t="shared" ref="W44:W71" si="12">X44</f>
        <v>0</v>
      </c>
      <c r="X44" s="781"/>
    </row>
    <row r="45" spans="1:24">
      <c r="A45" s="856"/>
      <c r="B45" s="858" t="s">
        <v>61</v>
      </c>
      <c r="C45" s="1130" t="s">
        <v>21</v>
      </c>
      <c r="D45" s="1125">
        <f t="shared" si="0"/>
        <v>116.101</v>
      </c>
      <c r="E45" s="781">
        <f t="shared" si="11"/>
        <v>0</v>
      </c>
      <c r="F45" s="688"/>
      <c r="G45" s="688"/>
      <c r="H45" s="1127">
        <f t="shared" si="1"/>
        <v>116.101</v>
      </c>
      <c r="I45" s="1134">
        <f>'1 квартал'!I45+'2 квартал'!I45+25.245+18.196</f>
        <v>116.101</v>
      </c>
      <c r="J45" s="1134">
        <f>'1 квартал'!J45+'2 квартал'!J45</f>
        <v>0</v>
      </c>
      <c r="K45" s="1129">
        <f t="shared" si="2"/>
        <v>0</v>
      </c>
      <c r="L45" s="1134">
        <f>'1 квартал'!L45+'2 квартал'!L45</f>
        <v>0</v>
      </c>
      <c r="M45" s="1134">
        <f>'1 квартал'!M45+'2 квартал'!M45</f>
        <v>0</v>
      </c>
      <c r="N45" s="781">
        <f t="shared" si="10"/>
        <v>0</v>
      </c>
      <c r="O45" s="857"/>
      <c r="P45" s="781">
        <f t="shared" si="5"/>
        <v>0</v>
      </c>
      <c r="Q45" s="781"/>
      <c r="R45" s="781">
        <f t="shared" si="6"/>
        <v>0</v>
      </c>
      <c r="S45" s="781"/>
      <c r="T45" s="781"/>
      <c r="U45" s="781">
        <f t="shared" si="7"/>
        <v>0</v>
      </c>
      <c r="V45" s="781"/>
      <c r="W45" s="781">
        <f t="shared" si="12"/>
        <v>0</v>
      </c>
      <c r="X45" s="781"/>
    </row>
    <row r="46" spans="1:24">
      <c r="A46" s="1149">
        <v>8</v>
      </c>
      <c r="B46" s="858" t="s">
        <v>62</v>
      </c>
      <c r="C46" s="1130" t="s">
        <v>47</v>
      </c>
      <c r="D46" s="1125">
        <f t="shared" si="0"/>
        <v>0</v>
      </c>
      <c r="E46" s="781">
        <f t="shared" si="11"/>
        <v>0</v>
      </c>
      <c r="F46" s="688"/>
      <c r="G46" s="688"/>
      <c r="H46" s="1127">
        <f t="shared" si="1"/>
        <v>0</v>
      </c>
      <c r="I46" s="1134">
        <f>'1 квартал'!I46+'2 квартал'!I46</f>
        <v>0</v>
      </c>
      <c r="J46" s="1134">
        <f>'1 квартал'!J46+'2 квартал'!J46</f>
        <v>0</v>
      </c>
      <c r="K46" s="1129">
        <f t="shared" si="2"/>
        <v>0</v>
      </c>
      <c r="L46" s="1134">
        <f>'1 квартал'!L46+'2 квартал'!L46</f>
        <v>0</v>
      </c>
      <c r="M46" s="1134">
        <f>'1 квартал'!M46+'2 квартал'!M46</f>
        <v>0</v>
      </c>
      <c r="N46" s="781">
        <f t="shared" si="10"/>
        <v>0</v>
      </c>
      <c r="O46" s="857"/>
      <c r="P46" s="781">
        <f t="shared" si="5"/>
        <v>0</v>
      </c>
      <c r="Q46" s="781"/>
      <c r="R46" s="781">
        <f t="shared" si="6"/>
        <v>0</v>
      </c>
      <c r="S46" s="781"/>
      <c r="T46" s="781"/>
      <c r="U46" s="781">
        <f t="shared" si="7"/>
        <v>0</v>
      </c>
      <c r="V46" s="781"/>
      <c r="W46" s="781">
        <f t="shared" si="12"/>
        <v>0</v>
      </c>
      <c r="X46" s="781"/>
    </row>
    <row r="47" spans="1:24">
      <c r="A47" s="1149"/>
      <c r="B47" s="858" t="s">
        <v>63</v>
      </c>
      <c r="C47" s="1130" t="s">
        <v>21</v>
      </c>
      <c r="D47" s="1125">
        <f t="shared" si="0"/>
        <v>0</v>
      </c>
      <c r="E47" s="781">
        <f t="shared" si="11"/>
        <v>0</v>
      </c>
      <c r="F47" s="688"/>
      <c r="G47" s="688"/>
      <c r="H47" s="1127">
        <f t="shared" si="1"/>
        <v>0</v>
      </c>
      <c r="I47" s="1134">
        <f>'1 квартал'!I47+'2 квартал'!I47</f>
        <v>0</v>
      </c>
      <c r="J47" s="1134">
        <f>'1 квартал'!J47+'2 квартал'!J47</f>
        <v>0</v>
      </c>
      <c r="K47" s="1129">
        <f t="shared" si="2"/>
        <v>0</v>
      </c>
      <c r="L47" s="1134">
        <f>'1 квартал'!L47+'2 квартал'!L47</f>
        <v>0</v>
      </c>
      <c r="M47" s="1134">
        <f>'1 квартал'!M47+'2 квартал'!M47</f>
        <v>0</v>
      </c>
      <c r="N47" s="781">
        <f t="shared" si="10"/>
        <v>0</v>
      </c>
      <c r="O47" s="857"/>
      <c r="P47" s="781">
        <f t="shared" si="5"/>
        <v>0</v>
      </c>
      <c r="Q47" s="781"/>
      <c r="R47" s="781">
        <f t="shared" si="6"/>
        <v>0</v>
      </c>
      <c r="S47" s="781"/>
      <c r="T47" s="781"/>
      <c r="U47" s="781">
        <f t="shared" si="7"/>
        <v>0</v>
      </c>
      <c r="V47" s="781"/>
      <c r="W47" s="781">
        <f t="shared" si="12"/>
        <v>0</v>
      </c>
      <c r="X47" s="781"/>
    </row>
    <row r="48" spans="1:24">
      <c r="A48" s="1149">
        <v>9</v>
      </c>
      <c r="B48" s="858" t="s">
        <v>64</v>
      </c>
      <c r="C48" s="1130" t="s">
        <v>51</v>
      </c>
      <c r="D48" s="1125">
        <f t="shared" si="0"/>
        <v>4.0000000000000001E-3</v>
      </c>
      <c r="E48" s="781">
        <f t="shared" si="11"/>
        <v>0</v>
      </c>
      <c r="F48" s="688"/>
      <c r="G48" s="688"/>
      <c r="H48" s="1127">
        <f t="shared" si="1"/>
        <v>4.0000000000000001E-3</v>
      </c>
      <c r="I48" s="1134">
        <f>'1 квартал'!I48+'2 квартал'!I48+0.004</f>
        <v>4.0000000000000001E-3</v>
      </c>
      <c r="J48" s="1134">
        <f>'1 квартал'!J48+'2 квартал'!J48</f>
        <v>0</v>
      </c>
      <c r="K48" s="1129">
        <f t="shared" si="2"/>
        <v>0</v>
      </c>
      <c r="L48" s="1134">
        <f>'1 квартал'!L48+'2 квартал'!L48</f>
        <v>0</v>
      </c>
      <c r="M48" s="1134">
        <f>'1 квартал'!M48+'2 квартал'!M48</f>
        <v>0</v>
      </c>
      <c r="N48" s="781">
        <f t="shared" si="10"/>
        <v>0</v>
      </c>
      <c r="O48" s="857"/>
      <c r="P48" s="781">
        <f t="shared" si="5"/>
        <v>0</v>
      </c>
      <c r="Q48" s="781"/>
      <c r="R48" s="781">
        <f t="shared" si="6"/>
        <v>0</v>
      </c>
      <c r="S48" s="781"/>
      <c r="T48" s="781"/>
      <c r="U48" s="781">
        <f t="shared" si="7"/>
        <v>0</v>
      </c>
      <c r="V48" s="781"/>
      <c r="W48" s="781">
        <f t="shared" si="12"/>
        <v>0</v>
      </c>
      <c r="X48" s="781"/>
    </row>
    <row r="49" spans="1:24">
      <c r="A49" s="1149"/>
      <c r="B49" s="856"/>
      <c r="C49" s="1130" t="s">
        <v>21</v>
      </c>
      <c r="D49" s="1125">
        <f t="shared" si="0"/>
        <v>6.4939999999999998</v>
      </c>
      <c r="E49" s="781">
        <f t="shared" si="11"/>
        <v>0</v>
      </c>
      <c r="F49" s="688"/>
      <c r="G49" s="688"/>
      <c r="H49" s="1127">
        <f t="shared" si="1"/>
        <v>6.4939999999999998</v>
      </c>
      <c r="I49" s="1134">
        <f>'1 квартал'!I49+'2 квартал'!I49+6.494</f>
        <v>6.4939999999999998</v>
      </c>
      <c r="J49" s="1134">
        <f>'1 квартал'!J49+'2 квартал'!J49</f>
        <v>0</v>
      </c>
      <c r="K49" s="1129">
        <f t="shared" si="2"/>
        <v>0</v>
      </c>
      <c r="L49" s="1134">
        <f>'1 квартал'!L49+'2 квартал'!L49</f>
        <v>0</v>
      </c>
      <c r="M49" s="1134">
        <f>'1 квартал'!M49+'2 квартал'!M49</f>
        <v>0</v>
      </c>
      <c r="N49" s="781">
        <f t="shared" si="10"/>
        <v>0</v>
      </c>
      <c r="O49" s="857"/>
      <c r="P49" s="781">
        <f t="shared" si="5"/>
        <v>0</v>
      </c>
      <c r="Q49" s="781"/>
      <c r="R49" s="781">
        <f t="shared" si="6"/>
        <v>0</v>
      </c>
      <c r="S49" s="781"/>
      <c r="T49" s="781"/>
      <c r="U49" s="781">
        <f t="shared" si="7"/>
        <v>0</v>
      </c>
      <c r="V49" s="781"/>
      <c r="W49" s="781">
        <f t="shared" si="12"/>
        <v>0</v>
      </c>
      <c r="X49" s="781"/>
    </row>
    <row r="50" spans="1:24">
      <c r="A50" s="1149">
        <v>10</v>
      </c>
      <c r="B50" s="858" t="s">
        <v>65</v>
      </c>
      <c r="C50" s="1130" t="s">
        <v>47</v>
      </c>
      <c r="D50" s="1125">
        <f t="shared" si="0"/>
        <v>98</v>
      </c>
      <c r="E50" s="781">
        <f t="shared" si="11"/>
        <v>0</v>
      </c>
      <c r="F50" s="688"/>
      <c r="G50" s="688"/>
      <c r="H50" s="1127">
        <f t="shared" si="1"/>
        <v>95</v>
      </c>
      <c r="I50" s="1134">
        <f>'1 квартал'!I50+'2 квартал'!I50+46+1</f>
        <v>78</v>
      </c>
      <c r="J50" s="1134">
        <f>'1 квартал'!J50+'2 квартал'!J50+9</f>
        <v>17</v>
      </c>
      <c r="K50" s="1129">
        <f t="shared" si="2"/>
        <v>3</v>
      </c>
      <c r="L50" s="1134">
        <f>'1 квартал'!L50+'2 квартал'!L50</f>
        <v>3</v>
      </c>
      <c r="M50" s="1134">
        <f>'1 квартал'!M50+'2 квартал'!M50</f>
        <v>0</v>
      </c>
      <c r="N50" s="781">
        <f t="shared" si="10"/>
        <v>0</v>
      </c>
      <c r="O50" s="857"/>
      <c r="P50" s="781">
        <f t="shared" si="5"/>
        <v>0</v>
      </c>
      <c r="Q50" s="781"/>
      <c r="R50" s="781">
        <f t="shared" si="6"/>
        <v>0</v>
      </c>
      <c r="S50" s="781"/>
      <c r="T50" s="781"/>
      <c r="U50" s="781">
        <f t="shared" si="7"/>
        <v>0</v>
      </c>
      <c r="V50" s="781"/>
      <c r="W50" s="781">
        <f t="shared" si="12"/>
        <v>0</v>
      </c>
      <c r="X50" s="781"/>
    </row>
    <row r="51" spans="1:24">
      <c r="A51" s="1149"/>
      <c r="B51" s="858" t="s">
        <v>66</v>
      </c>
      <c r="C51" s="1130" t="s">
        <v>21</v>
      </c>
      <c r="D51" s="1125">
        <f t="shared" si="0"/>
        <v>1240.4799999999998</v>
      </c>
      <c r="E51" s="781">
        <f t="shared" si="11"/>
        <v>0</v>
      </c>
      <c r="F51" s="688"/>
      <c r="G51" s="688"/>
      <c r="H51" s="1127">
        <f t="shared" si="1"/>
        <v>1237.0059999999999</v>
      </c>
      <c r="I51" s="1134">
        <f>'1 квартал'!I51+'2 квартал'!I51+118.909+49.901</f>
        <v>649.04199999999992</v>
      </c>
      <c r="J51" s="1134">
        <f>'1 квартал'!J51+'2 квартал'!J51+30</f>
        <v>587.96399999999994</v>
      </c>
      <c r="K51" s="1129">
        <f t="shared" si="2"/>
        <v>3.4740000000000002</v>
      </c>
      <c r="L51" s="1134">
        <f>'1 квартал'!L51+'2 квартал'!L51</f>
        <v>3.4740000000000002</v>
      </c>
      <c r="M51" s="1134">
        <f>'1 квартал'!M51+'2 квартал'!M51</f>
        <v>0</v>
      </c>
      <c r="N51" s="781">
        <f t="shared" si="10"/>
        <v>0</v>
      </c>
      <c r="O51" s="857"/>
      <c r="P51" s="781">
        <f t="shared" si="5"/>
        <v>0</v>
      </c>
      <c r="Q51" s="781"/>
      <c r="R51" s="781">
        <f t="shared" si="6"/>
        <v>0</v>
      </c>
      <c r="S51" s="781"/>
      <c r="T51" s="781"/>
      <c r="U51" s="781">
        <f t="shared" si="7"/>
        <v>0</v>
      </c>
      <c r="V51" s="781"/>
      <c r="W51" s="781">
        <f t="shared" si="12"/>
        <v>0</v>
      </c>
      <c r="X51" s="781"/>
    </row>
    <row r="52" spans="1:24">
      <c r="A52" s="1149">
        <v>11</v>
      </c>
      <c r="B52" s="858" t="s">
        <v>67</v>
      </c>
      <c r="C52" s="1130" t="s">
        <v>47</v>
      </c>
      <c r="D52" s="1125">
        <f t="shared" si="0"/>
        <v>67</v>
      </c>
      <c r="E52" s="781">
        <f t="shared" si="11"/>
        <v>0</v>
      </c>
      <c r="F52" s="688"/>
      <c r="G52" s="688"/>
      <c r="H52" s="1127">
        <f t="shared" si="1"/>
        <v>64</v>
      </c>
      <c r="I52" s="1134">
        <f>'1 квартал'!I52+'2 квартал'!I52+10+5</f>
        <v>59</v>
      </c>
      <c r="J52" s="1134">
        <f>'1 квартал'!J52+'2 квартал'!J52+1</f>
        <v>5</v>
      </c>
      <c r="K52" s="1129">
        <f t="shared" si="2"/>
        <v>3</v>
      </c>
      <c r="L52" s="1134">
        <f>'1 квартал'!L52+'2 квартал'!L52</f>
        <v>3</v>
      </c>
      <c r="M52" s="1134">
        <f>'1 квартал'!M52+'2 квартал'!M52</f>
        <v>0</v>
      </c>
      <c r="N52" s="781">
        <f t="shared" si="10"/>
        <v>0</v>
      </c>
      <c r="O52" s="857"/>
      <c r="P52" s="781">
        <f t="shared" si="5"/>
        <v>0</v>
      </c>
      <c r="Q52" s="781"/>
      <c r="R52" s="781">
        <f t="shared" si="6"/>
        <v>0</v>
      </c>
      <c r="S52" s="781"/>
      <c r="T52" s="781"/>
      <c r="U52" s="781">
        <f t="shared" si="7"/>
        <v>0</v>
      </c>
      <c r="V52" s="781"/>
      <c r="W52" s="781">
        <f t="shared" si="12"/>
        <v>0</v>
      </c>
      <c r="X52" s="781"/>
    </row>
    <row r="53" spans="1:24">
      <c r="A53" s="1149"/>
      <c r="B53" s="856"/>
      <c r="C53" s="1130" t="s">
        <v>21</v>
      </c>
      <c r="D53" s="1125">
        <f t="shared" si="0"/>
        <v>850.8660000000001</v>
      </c>
      <c r="E53" s="781">
        <f t="shared" si="11"/>
        <v>0</v>
      </c>
      <c r="F53" s="688"/>
      <c r="G53" s="688"/>
      <c r="H53" s="1127">
        <f t="shared" si="1"/>
        <v>831.44900000000007</v>
      </c>
      <c r="I53" s="1134">
        <f>'1 квартал'!I53+'2 квартал'!I53+67.626+59.701</f>
        <v>678.06900000000007</v>
      </c>
      <c r="J53" s="1134">
        <f>'1 квартал'!J53+'2 квартал'!J53+29.18</f>
        <v>153.38</v>
      </c>
      <c r="K53" s="1129">
        <f t="shared" si="2"/>
        <v>19.417000000000002</v>
      </c>
      <c r="L53" s="1134">
        <f>'1 квартал'!L53+'2 квартал'!L53</f>
        <v>19.417000000000002</v>
      </c>
      <c r="M53" s="1134">
        <f>'1 квартал'!M53+'2 квартал'!M53</f>
        <v>0</v>
      </c>
      <c r="N53" s="781">
        <f t="shared" si="10"/>
        <v>0</v>
      </c>
      <c r="O53" s="857"/>
      <c r="P53" s="781">
        <f t="shared" si="5"/>
        <v>0</v>
      </c>
      <c r="Q53" s="781"/>
      <c r="R53" s="781">
        <f t="shared" si="6"/>
        <v>0</v>
      </c>
      <c r="S53" s="781"/>
      <c r="T53" s="781"/>
      <c r="U53" s="781">
        <f t="shared" si="7"/>
        <v>0</v>
      </c>
      <c r="V53" s="781"/>
      <c r="W53" s="781">
        <f t="shared" si="12"/>
        <v>0</v>
      </c>
      <c r="X53" s="781"/>
    </row>
    <row r="54" spans="1:24">
      <c r="A54" s="1149">
        <v>12</v>
      </c>
      <c r="B54" s="858" t="s">
        <v>68</v>
      </c>
      <c r="C54" s="1130" t="s">
        <v>47</v>
      </c>
      <c r="D54" s="1125">
        <f t="shared" si="0"/>
        <v>176</v>
      </c>
      <c r="E54" s="781">
        <f t="shared" si="11"/>
        <v>0</v>
      </c>
      <c r="F54" s="688"/>
      <c r="G54" s="688"/>
      <c r="H54" s="1127">
        <f t="shared" si="1"/>
        <v>166</v>
      </c>
      <c r="I54" s="1134">
        <f>'1 квартал'!I54+'2 квартал'!I54+5+69</f>
        <v>134</v>
      </c>
      <c r="J54" s="1134">
        <f>'1 квартал'!J54+'2 квартал'!J54+5+27</f>
        <v>32</v>
      </c>
      <c r="K54" s="1129">
        <f t="shared" si="2"/>
        <v>10</v>
      </c>
      <c r="L54" s="1134">
        <f>'1 квартал'!L54+'2 квартал'!L54+10</f>
        <v>10</v>
      </c>
      <c r="M54" s="1134">
        <f>'1 квартал'!M54+'2 квартал'!M54</f>
        <v>0</v>
      </c>
      <c r="N54" s="781">
        <f t="shared" si="10"/>
        <v>0</v>
      </c>
      <c r="O54" s="857"/>
      <c r="P54" s="781">
        <f t="shared" si="5"/>
        <v>0</v>
      </c>
      <c r="Q54" s="781"/>
      <c r="R54" s="781">
        <f t="shared" si="6"/>
        <v>0</v>
      </c>
      <c r="S54" s="781"/>
      <c r="T54" s="781"/>
      <c r="U54" s="781">
        <f t="shared" si="7"/>
        <v>0</v>
      </c>
      <c r="V54" s="781"/>
      <c r="W54" s="781">
        <f t="shared" si="12"/>
        <v>0</v>
      </c>
      <c r="X54" s="781"/>
    </row>
    <row r="55" spans="1:24">
      <c r="A55" s="1149"/>
      <c r="B55" s="858" t="s">
        <v>69</v>
      </c>
      <c r="C55" s="1130" t="s">
        <v>21</v>
      </c>
      <c r="D55" s="1125">
        <f t="shared" si="0"/>
        <v>1150.825</v>
      </c>
      <c r="E55" s="781">
        <f t="shared" si="11"/>
        <v>0</v>
      </c>
      <c r="F55" s="688"/>
      <c r="G55" s="688"/>
      <c r="H55" s="1127">
        <f t="shared" si="1"/>
        <v>1118.0650000000001</v>
      </c>
      <c r="I55" s="1134">
        <f>'1 квартал'!I55+'2 квартал'!I55+11.151+151.627</f>
        <v>599.16800000000012</v>
      </c>
      <c r="J55" s="1134">
        <f>'1 квартал'!J55+'2 квартал'!J55+99.897+419</f>
        <v>518.89700000000005</v>
      </c>
      <c r="K55" s="1129">
        <f t="shared" si="2"/>
        <v>32.76</v>
      </c>
      <c r="L55" s="1134">
        <f>'1 квартал'!L55+'2 квартал'!L55+32.76</f>
        <v>32.76</v>
      </c>
      <c r="M55" s="1134">
        <f>'1 квартал'!M55+'2 квартал'!M55</f>
        <v>0</v>
      </c>
      <c r="N55" s="781">
        <f t="shared" si="10"/>
        <v>0</v>
      </c>
      <c r="O55" s="857"/>
      <c r="P55" s="781">
        <f t="shared" si="5"/>
        <v>0</v>
      </c>
      <c r="Q55" s="781"/>
      <c r="R55" s="781">
        <f t="shared" si="6"/>
        <v>0</v>
      </c>
      <c r="S55" s="781"/>
      <c r="T55" s="781"/>
      <c r="U55" s="781">
        <f t="shared" si="7"/>
        <v>0</v>
      </c>
      <c r="V55" s="781"/>
      <c r="W55" s="781">
        <f t="shared" si="12"/>
        <v>0</v>
      </c>
      <c r="X55" s="781"/>
    </row>
    <row r="56" spans="1:24">
      <c r="A56" s="1149">
        <v>14</v>
      </c>
      <c r="B56" s="858" t="s">
        <v>70</v>
      </c>
      <c r="C56" s="1130" t="s">
        <v>24</v>
      </c>
      <c r="D56" s="1125">
        <f t="shared" si="0"/>
        <v>0.10925</v>
      </c>
      <c r="E56" s="781">
        <f t="shared" si="11"/>
        <v>0</v>
      </c>
      <c r="F56" s="688"/>
      <c r="G56" s="688"/>
      <c r="H56" s="1127">
        <f t="shared" si="1"/>
        <v>0.10925</v>
      </c>
      <c r="I56" s="1134">
        <f>'1 квартал'!I56+'2 квартал'!I56+0.023</f>
        <v>9.325E-2</v>
      </c>
      <c r="J56" s="1134">
        <f>'1 квартал'!J56+'2 квартал'!J56+0.016</f>
        <v>1.6E-2</v>
      </c>
      <c r="K56" s="1129">
        <f t="shared" si="2"/>
        <v>0</v>
      </c>
      <c r="L56" s="1134">
        <f>'1 квартал'!L56+'2 квартал'!L56</f>
        <v>0</v>
      </c>
      <c r="M56" s="1134">
        <f>'1 квартал'!M56+'2 квартал'!M56</f>
        <v>0</v>
      </c>
      <c r="N56" s="781">
        <f t="shared" si="10"/>
        <v>0</v>
      </c>
      <c r="O56" s="857"/>
      <c r="P56" s="781">
        <f t="shared" si="5"/>
        <v>0</v>
      </c>
      <c r="Q56" s="781"/>
      <c r="R56" s="781">
        <f t="shared" si="6"/>
        <v>0</v>
      </c>
      <c r="S56" s="781"/>
      <c r="T56" s="781"/>
      <c r="U56" s="781">
        <f t="shared" si="7"/>
        <v>0</v>
      </c>
      <c r="V56" s="781"/>
      <c r="W56" s="781">
        <f t="shared" si="12"/>
        <v>0</v>
      </c>
      <c r="X56" s="781"/>
    </row>
    <row r="57" spans="1:24">
      <c r="A57" s="1149"/>
      <c r="B57" s="858" t="s">
        <v>71</v>
      </c>
      <c r="C57" s="1130" t="s">
        <v>21</v>
      </c>
      <c r="D57" s="1125">
        <f t="shared" si="0"/>
        <v>145.93600000000001</v>
      </c>
      <c r="E57" s="781">
        <f t="shared" si="11"/>
        <v>0</v>
      </c>
      <c r="F57" s="688"/>
      <c r="G57" s="688"/>
      <c r="H57" s="1127">
        <f t="shared" si="1"/>
        <v>145.93600000000001</v>
      </c>
      <c r="I57" s="1134">
        <f>'1 квартал'!I57+'2 квартал'!I57+11.333</f>
        <v>86.319000000000003</v>
      </c>
      <c r="J57" s="1134">
        <f>'1 квартал'!J57+'2 квартал'!J57+59.617</f>
        <v>59.616999999999997</v>
      </c>
      <c r="K57" s="1129">
        <f t="shared" si="2"/>
        <v>0</v>
      </c>
      <c r="L57" s="1134">
        <f>'1 квартал'!L57+'2 квартал'!L57</f>
        <v>0</v>
      </c>
      <c r="M57" s="1134">
        <f>'1 квартал'!M57+'2 квартал'!M57</f>
        <v>0</v>
      </c>
      <c r="N57" s="781">
        <f t="shared" si="10"/>
        <v>0</v>
      </c>
      <c r="O57" s="857"/>
      <c r="P57" s="781">
        <f t="shared" si="5"/>
        <v>0</v>
      </c>
      <c r="Q57" s="781"/>
      <c r="R57" s="781">
        <f t="shared" si="6"/>
        <v>0</v>
      </c>
      <c r="S57" s="781"/>
      <c r="T57" s="781"/>
      <c r="U57" s="781">
        <f t="shared" si="7"/>
        <v>0</v>
      </c>
      <c r="V57" s="781"/>
      <c r="W57" s="781">
        <f t="shared" si="12"/>
        <v>0</v>
      </c>
      <c r="X57" s="781"/>
    </row>
    <row r="58" spans="1:24">
      <c r="A58" s="1149">
        <v>15</v>
      </c>
      <c r="B58" s="858" t="s">
        <v>72</v>
      </c>
      <c r="C58" s="1130" t="s">
        <v>47</v>
      </c>
      <c r="D58" s="1125">
        <f t="shared" si="0"/>
        <v>2</v>
      </c>
      <c r="E58" s="781">
        <f t="shared" si="11"/>
        <v>0</v>
      </c>
      <c r="F58" s="688"/>
      <c r="G58" s="688"/>
      <c r="H58" s="1127">
        <f t="shared" si="1"/>
        <v>2</v>
      </c>
      <c r="I58" s="1134">
        <f>'1 квартал'!I58+'2 квартал'!I58</f>
        <v>2</v>
      </c>
      <c r="J58" s="1134">
        <f>'1 квартал'!J58+'2 квартал'!J58</f>
        <v>0</v>
      </c>
      <c r="K58" s="1129">
        <f t="shared" si="2"/>
        <v>0</v>
      </c>
      <c r="L58" s="1134">
        <f>'1 квартал'!L58+'2 квартал'!L58</f>
        <v>0</v>
      </c>
      <c r="M58" s="1134">
        <f>'1 квартал'!M58+'2 квартал'!M58</f>
        <v>0</v>
      </c>
      <c r="N58" s="781">
        <f t="shared" si="10"/>
        <v>0</v>
      </c>
      <c r="O58" s="857"/>
      <c r="P58" s="781">
        <f t="shared" si="5"/>
        <v>0</v>
      </c>
      <c r="Q58" s="781"/>
      <c r="R58" s="781">
        <f t="shared" si="6"/>
        <v>0</v>
      </c>
      <c r="S58" s="781"/>
      <c r="T58" s="781"/>
      <c r="U58" s="781">
        <f t="shared" si="7"/>
        <v>0</v>
      </c>
      <c r="V58" s="781"/>
      <c r="W58" s="781">
        <f t="shared" si="12"/>
        <v>0</v>
      </c>
      <c r="X58" s="781"/>
    </row>
    <row r="59" spans="1:24">
      <c r="A59" s="1149"/>
      <c r="B59" s="858" t="s">
        <v>73</v>
      </c>
      <c r="C59" s="1130" t="s">
        <v>21</v>
      </c>
      <c r="D59" s="1125">
        <f t="shared" si="0"/>
        <v>4.7679999999999998</v>
      </c>
      <c r="E59" s="781">
        <f t="shared" si="11"/>
        <v>0</v>
      </c>
      <c r="F59" s="688"/>
      <c r="G59" s="688"/>
      <c r="H59" s="1127">
        <f t="shared" si="1"/>
        <v>4.7679999999999998</v>
      </c>
      <c r="I59" s="1134">
        <f>'1 квартал'!I59+'2 квартал'!I59</f>
        <v>4.7679999999999998</v>
      </c>
      <c r="J59" s="1134">
        <f>'1 квартал'!J59+'2 квартал'!J59</f>
        <v>0</v>
      </c>
      <c r="K59" s="1129">
        <f t="shared" si="2"/>
        <v>0</v>
      </c>
      <c r="L59" s="1134">
        <f>'1 квартал'!L59+'2 квартал'!L59</f>
        <v>0</v>
      </c>
      <c r="M59" s="1134">
        <f>'1 квартал'!M59+'2 квартал'!M59</f>
        <v>0</v>
      </c>
      <c r="N59" s="781">
        <f t="shared" si="10"/>
        <v>0</v>
      </c>
      <c r="O59" s="857"/>
      <c r="P59" s="781">
        <f t="shared" si="5"/>
        <v>0</v>
      </c>
      <c r="Q59" s="781"/>
      <c r="R59" s="781">
        <f t="shared" si="6"/>
        <v>0</v>
      </c>
      <c r="S59" s="781"/>
      <c r="T59" s="781"/>
      <c r="U59" s="781">
        <f t="shared" si="7"/>
        <v>0</v>
      </c>
      <c r="V59" s="781"/>
      <c r="W59" s="781">
        <f t="shared" si="12"/>
        <v>0</v>
      </c>
      <c r="X59" s="781"/>
    </row>
    <row r="60" spans="1:24">
      <c r="A60" s="1149">
        <v>16</v>
      </c>
      <c r="B60" s="858" t="s">
        <v>74</v>
      </c>
      <c r="C60" s="1130" t="s">
        <v>47</v>
      </c>
      <c r="D60" s="1125">
        <f t="shared" si="0"/>
        <v>0</v>
      </c>
      <c r="E60" s="781"/>
      <c r="F60" s="688"/>
      <c r="G60" s="688"/>
      <c r="H60" s="1127">
        <f t="shared" si="1"/>
        <v>0</v>
      </c>
      <c r="I60" s="1134">
        <f>'1 квартал'!I60+'2 квартал'!I60</f>
        <v>0</v>
      </c>
      <c r="J60" s="1134">
        <f>'1 квартал'!J60+'2 квартал'!J60</f>
        <v>0</v>
      </c>
      <c r="K60" s="1129">
        <f t="shared" si="2"/>
        <v>0</v>
      </c>
      <c r="L60" s="1134">
        <f>'1 квартал'!L60+'2 квартал'!L60</f>
        <v>0</v>
      </c>
      <c r="M60" s="1134">
        <f>'1 квартал'!M60+'2 квартал'!M60</f>
        <v>0</v>
      </c>
      <c r="N60" s="781">
        <f t="shared" si="10"/>
        <v>0</v>
      </c>
      <c r="O60" s="857"/>
      <c r="P60" s="781">
        <f t="shared" si="5"/>
        <v>0</v>
      </c>
      <c r="Q60" s="781"/>
      <c r="R60" s="781">
        <f t="shared" si="6"/>
        <v>0</v>
      </c>
      <c r="S60" s="781"/>
      <c r="T60" s="781"/>
      <c r="U60" s="781">
        <f t="shared" si="7"/>
        <v>0</v>
      </c>
      <c r="V60" s="781"/>
      <c r="W60" s="781">
        <f t="shared" si="12"/>
        <v>0</v>
      </c>
      <c r="X60" s="781"/>
    </row>
    <row r="61" spans="1:24">
      <c r="A61" s="1149"/>
      <c r="B61" s="858"/>
      <c r="C61" s="1130" t="s">
        <v>21</v>
      </c>
      <c r="D61" s="1125">
        <f t="shared" si="0"/>
        <v>0</v>
      </c>
      <c r="E61" s="781"/>
      <c r="F61" s="688"/>
      <c r="G61" s="688"/>
      <c r="H61" s="1127">
        <f t="shared" si="1"/>
        <v>0</v>
      </c>
      <c r="I61" s="1134">
        <f>'1 квартал'!I61+'2 квартал'!I61</f>
        <v>0</v>
      </c>
      <c r="J61" s="1134">
        <f>'1 квартал'!J61+'2 квартал'!J61</f>
        <v>0</v>
      </c>
      <c r="K61" s="1129">
        <f t="shared" si="2"/>
        <v>0</v>
      </c>
      <c r="L61" s="1134">
        <f>'1 квартал'!L61+'2 квартал'!L61</f>
        <v>0</v>
      </c>
      <c r="M61" s="1134">
        <f>'1 квартал'!M61+'2 квартал'!M61</f>
        <v>0</v>
      </c>
      <c r="N61" s="781">
        <f t="shared" si="10"/>
        <v>0</v>
      </c>
      <c r="O61" s="857"/>
      <c r="P61" s="781">
        <f t="shared" si="5"/>
        <v>0</v>
      </c>
      <c r="Q61" s="781"/>
      <c r="R61" s="781">
        <f t="shared" si="6"/>
        <v>0</v>
      </c>
      <c r="S61" s="781"/>
      <c r="T61" s="781"/>
      <c r="U61" s="781">
        <f t="shared" si="7"/>
        <v>0</v>
      </c>
      <c r="V61" s="781"/>
      <c r="W61" s="781">
        <f t="shared" si="12"/>
        <v>0</v>
      </c>
      <c r="X61" s="781"/>
    </row>
    <row r="62" spans="1:24" ht="48" customHeight="1">
      <c r="A62" s="1149">
        <v>17</v>
      </c>
      <c r="B62" s="1151" t="s">
        <v>75</v>
      </c>
      <c r="C62" s="1130" t="s">
        <v>24</v>
      </c>
      <c r="D62" s="1125">
        <f t="shared" si="0"/>
        <v>0</v>
      </c>
      <c r="E62" s="781">
        <v>0</v>
      </c>
      <c r="F62" s="688"/>
      <c r="G62" s="688"/>
      <c r="H62" s="1127">
        <f t="shared" si="1"/>
        <v>0</v>
      </c>
      <c r="I62" s="1134">
        <f>'1 квартал'!I62+'2 квартал'!I62</f>
        <v>0</v>
      </c>
      <c r="J62" s="1134">
        <f>'1 квартал'!J62+'2 квартал'!J62</f>
        <v>0</v>
      </c>
      <c r="K62" s="1129">
        <f t="shared" si="2"/>
        <v>0</v>
      </c>
      <c r="L62" s="1134">
        <f>'1 квартал'!L62+'2 квартал'!L62</f>
        <v>0</v>
      </c>
      <c r="M62" s="1134">
        <f>'1 квартал'!M62+'2 квартал'!M62</f>
        <v>0</v>
      </c>
      <c r="N62" s="781">
        <f t="shared" si="10"/>
        <v>0</v>
      </c>
      <c r="O62" s="857"/>
      <c r="P62" s="781">
        <f t="shared" si="5"/>
        <v>0</v>
      </c>
      <c r="Q62" s="781"/>
      <c r="R62" s="781">
        <f t="shared" si="6"/>
        <v>0</v>
      </c>
      <c r="S62" s="781"/>
      <c r="T62" s="781"/>
      <c r="U62" s="781">
        <f t="shared" si="7"/>
        <v>0</v>
      </c>
      <c r="V62" s="781"/>
      <c r="W62" s="781">
        <f t="shared" si="12"/>
        <v>0</v>
      </c>
      <c r="X62" s="781"/>
    </row>
    <row r="63" spans="1:24">
      <c r="A63" s="1149"/>
      <c r="B63" s="1152"/>
      <c r="C63" s="1130" t="s">
        <v>21</v>
      </c>
      <c r="D63" s="1125">
        <f t="shared" si="0"/>
        <v>0</v>
      </c>
      <c r="E63" s="781">
        <v>0</v>
      </c>
      <c r="F63" s="688"/>
      <c r="G63" s="688"/>
      <c r="H63" s="1127">
        <f t="shared" si="1"/>
        <v>0</v>
      </c>
      <c r="I63" s="1134">
        <f>'1 квартал'!I63+'2 квартал'!I63</f>
        <v>0</v>
      </c>
      <c r="J63" s="1134">
        <f>'1 квартал'!J63+'2 квартал'!J63</f>
        <v>0</v>
      </c>
      <c r="K63" s="1129">
        <f t="shared" si="2"/>
        <v>0</v>
      </c>
      <c r="L63" s="1134">
        <f>'1 квартал'!L63+'2 квартал'!L63</f>
        <v>0</v>
      </c>
      <c r="M63" s="1134">
        <f>'1 квартал'!M63+'2 квартал'!M63</f>
        <v>0</v>
      </c>
      <c r="N63" s="781">
        <f t="shared" si="10"/>
        <v>0</v>
      </c>
      <c r="O63" s="857"/>
      <c r="P63" s="781">
        <f t="shared" si="5"/>
        <v>0</v>
      </c>
      <c r="Q63" s="781"/>
      <c r="R63" s="781">
        <f t="shared" si="6"/>
        <v>0</v>
      </c>
      <c r="S63" s="781"/>
      <c r="T63" s="781"/>
      <c r="U63" s="781">
        <f t="shared" si="7"/>
        <v>0</v>
      </c>
      <c r="V63" s="781"/>
      <c r="W63" s="781">
        <f t="shared" si="12"/>
        <v>0</v>
      </c>
      <c r="X63" s="781"/>
    </row>
    <row r="64" spans="1:24">
      <c r="A64" s="1149">
        <v>18</v>
      </c>
      <c r="B64" s="858" t="s">
        <v>76</v>
      </c>
      <c r="C64" s="1130" t="s">
        <v>47</v>
      </c>
      <c r="D64" s="1125">
        <f t="shared" si="0"/>
        <v>1</v>
      </c>
      <c r="E64" s="781"/>
      <c r="F64" s="688"/>
      <c r="G64" s="688"/>
      <c r="H64" s="1127">
        <f t="shared" si="1"/>
        <v>1</v>
      </c>
      <c r="I64" s="1134">
        <f>'1 квартал'!I64+'2 квартал'!I64+1</f>
        <v>1</v>
      </c>
      <c r="J64" s="1134">
        <f>'1 квартал'!J64+'2 квартал'!J64</f>
        <v>0</v>
      </c>
      <c r="K64" s="1129">
        <f t="shared" si="2"/>
        <v>0</v>
      </c>
      <c r="L64" s="1134">
        <f>'1 квартал'!L64+'2 квартал'!L64</f>
        <v>0</v>
      </c>
      <c r="M64" s="1134">
        <f>'1 квартал'!M64+'2 квартал'!M64</f>
        <v>0</v>
      </c>
      <c r="N64" s="781">
        <f t="shared" si="10"/>
        <v>0</v>
      </c>
      <c r="O64" s="857"/>
      <c r="P64" s="781">
        <f t="shared" si="5"/>
        <v>0</v>
      </c>
      <c r="Q64" s="781"/>
      <c r="R64" s="781">
        <f t="shared" si="6"/>
        <v>0</v>
      </c>
      <c r="S64" s="781"/>
      <c r="T64" s="781"/>
      <c r="U64" s="781">
        <f t="shared" si="7"/>
        <v>0</v>
      </c>
      <c r="V64" s="781"/>
      <c r="W64" s="781">
        <f t="shared" si="12"/>
        <v>0</v>
      </c>
      <c r="X64" s="781"/>
    </row>
    <row r="65" spans="1:24">
      <c r="A65" s="1149"/>
      <c r="B65" s="858"/>
      <c r="C65" s="1130" t="s">
        <v>21</v>
      </c>
      <c r="D65" s="1125">
        <f t="shared" si="0"/>
        <v>13.766999999999999</v>
      </c>
      <c r="E65" s="781"/>
      <c r="F65" s="688"/>
      <c r="G65" s="688"/>
      <c r="H65" s="1127">
        <f t="shared" si="1"/>
        <v>13.766999999999999</v>
      </c>
      <c r="I65" s="1134">
        <f>'1 квартал'!I65+'2 квартал'!I65+13.767</f>
        <v>13.766999999999999</v>
      </c>
      <c r="J65" s="1134">
        <f>'1 квартал'!J65+'2 квартал'!J65</f>
        <v>0</v>
      </c>
      <c r="K65" s="1129">
        <f t="shared" si="2"/>
        <v>0</v>
      </c>
      <c r="L65" s="1134">
        <f>'1 квартал'!L65+'2 квартал'!L65</f>
        <v>0</v>
      </c>
      <c r="M65" s="1134">
        <f>'1 квартал'!M65+'2 квартал'!M65</f>
        <v>0</v>
      </c>
      <c r="N65" s="781">
        <f t="shared" si="10"/>
        <v>0</v>
      </c>
      <c r="O65" s="857"/>
      <c r="P65" s="781">
        <f t="shared" si="5"/>
        <v>0</v>
      </c>
      <c r="Q65" s="781"/>
      <c r="R65" s="781">
        <f t="shared" si="6"/>
        <v>0</v>
      </c>
      <c r="S65" s="781"/>
      <c r="T65" s="781"/>
      <c r="U65" s="781">
        <f t="shared" si="7"/>
        <v>0</v>
      </c>
      <c r="V65" s="781"/>
      <c r="W65" s="781">
        <f t="shared" si="12"/>
        <v>0</v>
      </c>
      <c r="X65" s="781"/>
    </row>
    <row r="66" spans="1:24">
      <c r="A66" s="1149">
        <v>19</v>
      </c>
      <c r="B66" s="858" t="s">
        <v>77</v>
      </c>
      <c r="C66" s="1130" t="s">
        <v>47</v>
      </c>
      <c r="D66" s="1125">
        <f t="shared" si="0"/>
        <v>8</v>
      </c>
      <c r="E66" s="781"/>
      <c r="F66" s="688"/>
      <c r="G66" s="688"/>
      <c r="H66" s="1127">
        <f t="shared" si="1"/>
        <v>8</v>
      </c>
      <c r="I66" s="1134">
        <f>'1 квартал'!I66+'2 квартал'!I66</f>
        <v>8</v>
      </c>
      <c r="J66" s="1134">
        <f>'1 квартал'!J66+'2 квартал'!J66</f>
        <v>0</v>
      </c>
      <c r="K66" s="1129">
        <f t="shared" si="2"/>
        <v>0</v>
      </c>
      <c r="L66" s="1134">
        <f>'1 квартал'!L66+'2 квартал'!L66</f>
        <v>0</v>
      </c>
      <c r="M66" s="1134">
        <f>'1 квартал'!M66+'2 квартал'!M66</f>
        <v>0</v>
      </c>
      <c r="N66" s="781">
        <f t="shared" si="10"/>
        <v>0</v>
      </c>
      <c r="O66" s="857"/>
      <c r="P66" s="781">
        <f t="shared" si="5"/>
        <v>0</v>
      </c>
      <c r="Q66" s="781"/>
      <c r="R66" s="781">
        <f t="shared" si="6"/>
        <v>0</v>
      </c>
      <c r="S66" s="781"/>
      <c r="T66" s="781"/>
      <c r="U66" s="781">
        <f t="shared" si="7"/>
        <v>0</v>
      </c>
      <c r="V66" s="781"/>
      <c r="W66" s="781">
        <f t="shared" si="12"/>
        <v>0</v>
      </c>
      <c r="X66" s="781"/>
    </row>
    <row r="67" spans="1:24">
      <c r="A67" s="1149"/>
      <c r="B67" s="858"/>
      <c r="C67" s="1130" t="s">
        <v>21</v>
      </c>
      <c r="D67" s="1125">
        <f t="shared" si="0"/>
        <v>10.434000000000001</v>
      </c>
      <c r="E67" s="781"/>
      <c r="F67" s="688"/>
      <c r="G67" s="688"/>
      <c r="H67" s="1127">
        <f t="shared" si="1"/>
        <v>10.434000000000001</v>
      </c>
      <c r="I67" s="1134">
        <f>'1 квартал'!I67+'2 квартал'!I67</f>
        <v>10.434000000000001</v>
      </c>
      <c r="J67" s="1134">
        <f>'1 квартал'!J67+'2 квартал'!J67</f>
        <v>0</v>
      </c>
      <c r="K67" s="1129">
        <f t="shared" si="2"/>
        <v>0</v>
      </c>
      <c r="L67" s="1134">
        <f>'1 квартал'!L67+'2 квартал'!L67</f>
        <v>0</v>
      </c>
      <c r="M67" s="1134">
        <f>'1 квартал'!M67+'2 квартал'!M67</f>
        <v>0</v>
      </c>
      <c r="N67" s="781">
        <f t="shared" si="10"/>
        <v>0</v>
      </c>
      <c r="O67" s="857"/>
      <c r="P67" s="781">
        <f t="shared" si="5"/>
        <v>0</v>
      </c>
      <c r="Q67" s="781"/>
      <c r="R67" s="781">
        <f t="shared" si="6"/>
        <v>0</v>
      </c>
      <c r="S67" s="781"/>
      <c r="T67" s="781"/>
      <c r="U67" s="781">
        <f t="shared" si="7"/>
        <v>0</v>
      </c>
      <c r="V67" s="781"/>
      <c r="W67" s="781">
        <f t="shared" si="12"/>
        <v>0</v>
      </c>
      <c r="X67" s="781"/>
    </row>
    <row r="68" spans="1:24" ht="44.25" customHeight="1">
      <c r="A68" s="1149">
        <v>20</v>
      </c>
      <c r="B68" s="1151" t="s">
        <v>78</v>
      </c>
      <c r="C68" s="1130" t="s">
        <v>79</v>
      </c>
      <c r="D68" s="1125">
        <f t="shared" si="0"/>
        <v>0</v>
      </c>
      <c r="E68" s="781">
        <v>0</v>
      </c>
      <c r="F68" s="688"/>
      <c r="G68" s="688"/>
      <c r="H68" s="1127">
        <f t="shared" si="1"/>
        <v>0</v>
      </c>
      <c r="I68" s="1134">
        <f>'1 квартал'!I68+'2 квартал'!I68</f>
        <v>0</v>
      </c>
      <c r="J68" s="1134">
        <f>'1 квартал'!J68+'2 квартал'!J68</f>
        <v>0</v>
      </c>
      <c r="K68" s="1129">
        <f t="shared" si="2"/>
        <v>0</v>
      </c>
      <c r="L68" s="1134">
        <f>'1 квартал'!L68+'2 квартал'!L68</f>
        <v>0</v>
      </c>
      <c r="M68" s="1134">
        <f>'1 квартал'!M68+'2 квартал'!M68</f>
        <v>0</v>
      </c>
      <c r="N68" s="781">
        <f t="shared" si="10"/>
        <v>0</v>
      </c>
      <c r="O68" s="857"/>
      <c r="P68" s="781">
        <f t="shared" si="5"/>
        <v>0</v>
      </c>
      <c r="Q68" s="781"/>
      <c r="R68" s="781">
        <f t="shared" si="6"/>
        <v>0</v>
      </c>
      <c r="S68" s="781"/>
      <c r="T68" s="781"/>
      <c r="U68" s="781">
        <f t="shared" si="7"/>
        <v>0</v>
      </c>
      <c r="V68" s="781"/>
      <c r="W68" s="781">
        <f t="shared" si="12"/>
        <v>0</v>
      </c>
      <c r="X68" s="781"/>
    </row>
    <row r="69" spans="1:24">
      <c r="A69" s="1149"/>
      <c r="B69" s="858"/>
      <c r="C69" s="1130" t="s">
        <v>21</v>
      </c>
      <c r="D69" s="1125">
        <f t="shared" si="0"/>
        <v>0</v>
      </c>
      <c r="E69" s="781">
        <v>0</v>
      </c>
      <c r="F69" s="688"/>
      <c r="G69" s="688"/>
      <c r="H69" s="1127">
        <f t="shared" si="1"/>
        <v>0</v>
      </c>
      <c r="I69" s="1134">
        <f>'1 квартал'!I69+'2 квартал'!I69</f>
        <v>0</v>
      </c>
      <c r="J69" s="1134">
        <f>'1 квартал'!J69+'2 квартал'!J69</f>
        <v>0</v>
      </c>
      <c r="K69" s="1129">
        <f t="shared" si="2"/>
        <v>0</v>
      </c>
      <c r="L69" s="1134">
        <f>'1 квартал'!L69+'2 квартал'!L69</f>
        <v>0</v>
      </c>
      <c r="M69" s="1134">
        <f>'1 квартал'!M69+'2 квартал'!M69</f>
        <v>0</v>
      </c>
      <c r="N69" s="781">
        <f t="shared" si="10"/>
        <v>0</v>
      </c>
      <c r="O69" s="857"/>
      <c r="P69" s="781">
        <f t="shared" si="5"/>
        <v>0</v>
      </c>
      <c r="Q69" s="781"/>
      <c r="R69" s="781">
        <f t="shared" si="6"/>
        <v>0</v>
      </c>
      <c r="S69" s="781"/>
      <c r="T69" s="781"/>
      <c r="U69" s="781">
        <f t="shared" si="7"/>
        <v>0</v>
      </c>
      <c r="V69" s="781"/>
      <c r="W69" s="781">
        <f t="shared" si="12"/>
        <v>0</v>
      </c>
      <c r="X69" s="781"/>
    </row>
    <row r="70" spans="1:24" ht="48.75" customHeight="1">
      <c r="A70" s="1149">
        <v>21</v>
      </c>
      <c r="B70" s="1151" t="s">
        <v>80</v>
      </c>
      <c r="C70" s="1130" t="s">
        <v>24</v>
      </c>
      <c r="D70" s="1125">
        <f t="shared" si="0"/>
        <v>0</v>
      </c>
      <c r="E70" s="781"/>
      <c r="F70" s="688"/>
      <c r="G70" s="688"/>
      <c r="H70" s="1127">
        <f t="shared" si="1"/>
        <v>0</v>
      </c>
      <c r="I70" s="1134">
        <f>'1 квартал'!I70+'2 квартал'!I70</f>
        <v>0</v>
      </c>
      <c r="J70" s="1134">
        <f>'1 квартал'!J70+'2 квартал'!J70</f>
        <v>0</v>
      </c>
      <c r="K70" s="1129">
        <f t="shared" si="2"/>
        <v>0</v>
      </c>
      <c r="L70" s="1134">
        <f>'1 квартал'!L70+'2 квартал'!L70</f>
        <v>0</v>
      </c>
      <c r="M70" s="1134">
        <f>'1 квартал'!M70+'2 квартал'!M70</f>
        <v>0</v>
      </c>
      <c r="N70" s="781">
        <f t="shared" si="10"/>
        <v>0</v>
      </c>
      <c r="O70" s="857"/>
      <c r="P70" s="781">
        <f t="shared" si="5"/>
        <v>0</v>
      </c>
      <c r="Q70" s="781"/>
      <c r="R70" s="781">
        <f t="shared" si="6"/>
        <v>0</v>
      </c>
      <c r="S70" s="781"/>
      <c r="T70" s="781"/>
      <c r="U70" s="781">
        <f t="shared" si="7"/>
        <v>0</v>
      </c>
      <c r="V70" s="781"/>
      <c r="W70" s="781">
        <f t="shared" si="12"/>
        <v>0</v>
      </c>
      <c r="X70" s="781"/>
    </row>
    <row r="71" spans="1:24">
      <c r="A71" s="1149"/>
      <c r="B71" s="858"/>
      <c r="C71" s="1130" t="s">
        <v>21</v>
      </c>
      <c r="D71" s="1125">
        <f t="shared" si="0"/>
        <v>0</v>
      </c>
      <c r="E71" s="781"/>
      <c r="F71" s="688"/>
      <c r="G71" s="688"/>
      <c r="H71" s="1127">
        <f t="shared" si="1"/>
        <v>0</v>
      </c>
      <c r="I71" s="1134">
        <f>'1 квартал'!I71+'2 квартал'!I71</f>
        <v>0</v>
      </c>
      <c r="J71" s="1134">
        <f>'1 квартал'!J71+'2 квартал'!J71</f>
        <v>0</v>
      </c>
      <c r="K71" s="1129">
        <f t="shared" si="2"/>
        <v>0</v>
      </c>
      <c r="L71" s="1134">
        <f>'1 квартал'!L71+'2 квартал'!L71</f>
        <v>0</v>
      </c>
      <c r="M71" s="1134">
        <f>'1 квартал'!M71+'2 квартал'!M71</f>
        <v>0</v>
      </c>
      <c r="N71" s="781">
        <f t="shared" si="10"/>
        <v>0</v>
      </c>
      <c r="O71" s="857"/>
      <c r="P71" s="781">
        <f t="shared" si="5"/>
        <v>0</v>
      </c>
      <c r="Q71" s="781"/>
      <c r="R71" s="781">
        <f t="shared" si="6"/>
        <v>0</v>
      </c>
      <c r="S71" s="781"/>
      <c r="T71" s="781"/>
      <c r="U71" s="781">
        <f t="shared" si="7"/>
        <v>0</v>
      </c>
      <c r="V71" s="781"/>
      <c r="W71" s="781">
        <f t="shared" si="12"/>
        <v>0</v>
      </c>
      <c r="X71" s="781"/>
    </row>
    <row r="72" spans="1:24">
      <c r="A72" s="1153" t="s">
        <v>81</v>
      </c>
      <c r="B72" s="1154" t="s">
        <v>82</v>
      </c>
      <c r="C72" s="1155" t="s">
        <v>21</v>
      </c>
      <c r="D72" s="1125">
        <f t="shared" si="0"/>
        <v>7770.7415000000001</v>
      </c>
      <c r="E72" s="1156">
        <f t="shared" ref="E72:X72" si="13">E74+E84+E86</f>
        <v>0</v>
      </c>
      <c r="F72" s="1156">
        <f t="shared" si="13"/>
        <v>0</v>
      </c>
      <c r="G72" s="1156">
        <f t="shared" si="13"/>
        <v>0</v>
      </c>
      <c r="H72" s="1127">
        <f t="shared" si="1"/>
        <v>7267.5439999999999</v>
      </c>
      <c r="I72" s="1157">
        <f>I74+I84+I86</f>
        <v>7267.5439999999999</v>
      </c>
      <c r="J72" s="1158">
        <f>J74+J84+J86</f>
        <v>0</v>
      </c>
      <c r="K72" s="1129">
        <f t="shared" si="2"/>
        <v>503.19750000000005</v>
      </c>
      <c r="L72" s="1157">
        <f t="shared" si="13"/>
        <v>503.19750000000005</v>
      </c>
      <c r="M72" s="1156">
        <f t="shared" si="13"/>
        <v>0</v>
      </c>
      <c r="N72" s="1156">
        <f t="shared" si="13"/>
        <v>0</v>
      </c>
      <c r="O72" s="1156">
        <f t="shared" si="13"/>
        <v>0</v>
      </c>
      <c r="P72" s="1156">
        <f t="shared" si="13"/>
        <v>0</v>
      </c>
      <c r="Q72" s="1156">
        <f t="shared" si="13"/>
        <v>0</v>
      </c>
      <c r="R72" s="1156">
        <f t="shared" si="13"/>
        <v>0</v>
      </c>
      <c r="S72" s="1156">
        <f t="shared" si="13"/>
        <v>0</v>
      </c>
      <c r="T72" s="1156">
        <f t="shared" si="13"/>
        <v>0</v>
      </c>
      <c r="U72" s="1156">
        <f t="shared" si="13"/>
        <v>0</v>
      </c>
      <c r="V72" s="1156">
        <f t="shared" si="13"/>
        <v>0</v>
      </c>
      <c r="W72" s="1156">
        <f t="shared" si="13"/>
        <v>0</v>
      </c>
      <c r="X72" s="1156">
        <f t="shared" si="13"/>
        <v>0</v>
      </c>
    </row>
    <row r="73" spans="1:24">
      <c r="A73" s="1149">
        <v>18</v>
      </c>
      <c r="B73" s="858" t="s">
        <v>83</v>
      </c>
      <c r="C73" s="1130" t="s">
        <v>51</v>
      </c>
      <c r="D73" s="1125">
        <f t="shared" si="0"/>
        <v>6.5255500000000008</v>
      </c>
      <c r="E73" s="781">
        <f t="shared" ref="E73:L74" si="14">E75+E77+E79+E81</f>
        <v>0</v>
      </c>
      <c r="F73" s="781">
        <f t="shared" si="14"/>
        <v>0</v>
      </c>
      <c r="G73" s="781">
        <f t="shared" si="14"/>
        <v>0</v>
      </c>
      <c r="H73" s="1127">
        <f t="shared" si="1"/>
        <v>6.1323500000000006</v>
      </c>
      <c r="I73" s="1131">
        <f t="shared" si="14"/>
        <v>6.1323500000000006</v>
      </c>
      <c r="J73" s="1132">
        <f t="shared" si="14"/>
        <v>0</v>
      </c>
      <c r="K73" s="1129">
        <f t="shared" si="2"/>
        <v>0.39319999999999999</v>
      </c>
      <c r="L73" s="1131">
        <f t="shared" si="14"/>
        <v>0.39319999999999999</v>
      </c>
      <c r="M73" s="781">
        <f>M75+M77+M79+M81</f>
        <v>0</v>
      </c>
      <c r="N73" s="781">
        <f t="shared" ref="N73:X74" si="15">N75+N77+N79+N81</f>
        <v>0</v>
      </c>
      <c r="O73" s="781">
        <f t="shared" si="15"/>
        <v>0</v>
      </c>
      <c r="P73" s="781">
        <f t="shared" si="15"/>
        <v>0</v>
      </c>
      <c r="Q73" s="781">
        <f t="shared" si="15"/>
        <v>0</v>
      </c>
      <c r="R73" s="781">
        <f t="shared" si="15"/>
        <v>0</v>
      </c>
      <c r="S73" s="781">
        <f t="shared" si="15"/>
        <v>0</v>
      </c>
      <c r="T73" s="781">
        <f t="shared" si="15"/>
        <v>0</v>
      </c>
      <c r="U73" s="781">
        <f t="shared" si="15"/>
        <v>0</v>
      </c>
      <c r="V73" s="781">
        <f t="shared" si="15"/>
        <v>0</v>
      </c>
      <c r="W73" s="781">
        <f t="shared" si="15"/>
        <v>0</v>
      </c>
      <c r="X73" s="781">
        <f t="shared" si="15"/>
        <v>0</v>
      </c>
    </row>
    <row r="74" spans="1:24">
      <c r="A74" s="856"/>
      <c r="B74" s="858" t="s">
        <v>84</v>
      </c>
      <c r="C74" s="1130" t="s">
        <v>21</v>
      </c>
      <c r="D74" s="1125">
        <f t="shared" si="0"/>
        <v>6022.5414999999994</v>
      </c>
      <c r="E74" s="781">
        <f t="shared" si="14"/>
        <v>0</v>
      </c>
      <c r="F74" s="781">
        <f t="shared" si="14"/>
        <v>0</v>
      </c>
      <c r="G74" s="781">
        <f t="shared" si="14"/>
        <v>0</v>
      </c>
      <c r="H74" s="1127">
        <f t="shared" si="1"/>
        <v>5718.1309999999994</v>
      </c>
      <c r="I74" s="1131">
        <f>I76+I78+I80+I82</f>
        <v>5718.1309999999994</v>
      </c>
      <c r="J74" s="1132">
        <f>J76+J78+J80+J82</f>
        <v>0</v>
      </c>
      <c r="K74" s="1129">
        <f t="shared" si="2"/>
        <v>304.41050000000001</v>
      </c>
      <c r="L74" s="1131">
        <f>L76+L78+L80+L82</f>
        <v>304.41050000000001</v>
      </c>
      <c r="M74" s="781">
        <f>M76+M78+M80+M82</f>
        <v>0</v>
      </c>
      <c r="N74" s="781">
        <f t="shared" si="15"/>
        <v>0</v>
      </c>
      <c r="O74" s="781">
        <f t="shared" si="15"/>
        <v>0</v>
      </c>
      <c r="P74" s="781">
        <f t="shared" si="15"/>
        <v>0</v>
      </c>
      <c r="Q74" s="781">
        <f t="shared" si="15"/>
        <v>0</v>
      </c>
      <c r="R74" s="781">
        <f t="shared" si="15"/>
        <v>0</v>
      </c>
      <c r="S74" s="781">
        <f t="shared" si="15"/>
        <v>0</v>
      </c>
      <c r="T74" s="781">
        <f t="shared" si="15"/>
        <v>0</v>
      </c>
      <c r="U74" s="781">
        <f t="shared" si="15"/>
        <v>0</v>
      </c>
      <c r="V74" s="781">
        <f t="shared" si="15"/>
        <v>0</v>
      </c>
      <c r="W74" s="781">
        <f t="shared" si="15"/>
        <v>0</v>
      </c>
      <c r="X74" s="781">
        <f t="shared" si="15"/>
        <v>0</v>
      </c>
    </row>
    <row r="75" spans="1:24">
      <c r="A75" s="1159" t="s">
        <v>85</v>
      </c>
      <c r="B75" s="856" t="s">
        <v>86</v>
      </c>
      <c r="C75" s="1130" t="s">
        <v>87</v>
      </c>
      <c r="D75" s="1125">
        <f t="shared" si="0"/>
        <v>0.40449999999999997</v>
      </c>
      <c r="E75" s="781">
        <f t="shared" ref="E75:E86" si="16">F75+G75</f>
        <v>0</v>
      </c>
      <c r="F75" s="688"/>
      <c r="G75" s="688"/>
      <c r="H75" s="1127">
        <f t="shared" si="1"/>
        <v>0.36099999999999999</v>
      </c>
      <c r="I75" s="1134">
        <f>'1 квартал'!I75+'2 квартал'!I75+0.008+0.123</f>
        <v>0.36099999999999999</v>
      </c>
      <c r="J75" s="1134">
        <f>'1 квартал'!J75+'2 квартал'!J75</f>
        <v>0</v>
      </c>
      <c r="K75" s="1129">
        <f t="shared" si="2"/>
        <v>4.3499999999999997E-2</v>
      </c>
      <c r="L75" s="1134">
        <f>'1 квартал'!L75+'2 квартал'!L75+0.008+0.016</f>
        <v>4.3499999999999997E-2</v>
      </c>
      <c r="M75" s="1134">
        <f>'1 квартал'!M75+'2 квартал'!M75</f>
        <v>0</v>
      </c>
      <c r="N75" s="781">
        <f t="shared" ref="N75:N86" si="17">O75</f>
        <v>0</v>
      </c>
      <c r="O75" s="857"/>
      <c r="P75" s="781">
        <f t="shared" ref="P75:P86" si="18">Q75</f>
        <v>0</v>
      </c>
      <c r="Q75" s="781"/>
      <c r="R75" s="781">
        <f t="shared" ref="R75:R86" si="19">S75+T75</f>
        <v>0</v>
      </c>
      <c r="S75" s="781"/>
      <c r="T75" s="781"/>
      <c r="U75" s="781">
        <f t="shared" ref="U75:U86" si="20">V75</f>
        <v>0</v>
      </c>
      <c r="V75" s="781"/>
      <c r="W75" s="781">
        <f t="shared" ref="W75:W86" si="21">X75</f>
        <v>0</v>
      </c>
      <c r="X75" s="781"/>
    </row>
    <row r="76" spans="1:24">
      <c r="A76" s="856"/>
      <c r="B76" s="856"/>
      <c r="C76" s="1130" t="s">
        <v>21</v>
      </c>
      <c r="D76" s="1125">
        <f t="shared" si="0"/>
        <v>357.41300000000001</v>
      </c>
      <c r="E76" s="781">
        <f t="shared" si="16"/>
        <v>0</v>
      </c>
      <c r="F76" s="688"/>
      <c r="G76" s="688"/>
      <c r="H76" s="1127">
        <f t="shared" si="1"/>
        <v>318.702</v>
      </c>
      <c r="I76" s="1134">
        <f>'1 квартал'!I76+'2 квартал'!I76+8.506+125.084</f>
        <v>318.702</v>
      </c>
      <c r="J76" s="1134">
        <f>'1 квартал'!J76+'2 квартал'!J76</f>
        <v>0</v>
      </c>
      <c r="K76" s="1129">
        <f t="shared" si="2"/>
        <v>38.710999999999999</v>
      </c>
      <c r="L76" s="1134">
        <f>12.896+8.784+17.031</f>
        <v>38.710999999999999</v>
      </c>
      <c r="M76" s="1134">
        <f>'1 квартал'!M76+'2 квартал'!M76</f>
        <v>0</v>
      </c>
      <c r="N76" s="781">
        <f t="shared" si="17"/>
        <v>0</v>
      </c>
      <c r="O76" s="857"/>
      <c r="P76" s="781">
        <f t="shared" si="18"/>
        <v>0</v>
      </c>
      <c r="Q76" s="781"/>
      <c r="R76" s="781">
        <f t="shared" si="19"/>
        <v>0</v>
      </c>
      <c r="S76" s="781"/>
      <c r="T76" s="781"/>
      <c r="U76" s="781">
        <f t="shared" si="20"/>
        <v>0</v>
      </c>
      <c r="V76" s="781"/>
      <c r="W76" s="781">
        <f t="shared" si="21"/>
        <v>0</v>
      </c>
      <c r="X76" s="781"/>
    </row>
    <row r="77" spans="1:24">
      <c r="A77" s="1159" t="s">
        <v>88</v>
      </c>
      <c r="B77" s="856" t="s">
        <v>89</v>
      </c>
      <c r="C77" s="1130" t="s">
        <v>51</v>
      </c>
      <c r="D77" s="1125">
        <f t="shared" ref="D77:D97" si="22">H77+K77</f>
        <v>2.7523000000000004</v>
      </c>
      <c r="E77" s="781">
        <f t="shared" si="16"/>
        <v>0</v>
      </c>
      <c r="F77" s="688"/>
      <c r="G77" s="688"/>
      <c r="H77" s="1127">
        <f t="shared" si="1"/>
        <v>2.6165000000000003</v>
      </c>
      <c r="I77" s="1134">
        <f>'1 квартал'!I77+'2 квартал'!I77+1.77</f>
        <v>2.6165000000000003</v>
      </c>
      <c r="J77" s="1134">
        <f>'1 квартал'!J77+'2 квартал'!J77</f>
        <v>0</v>
      </c>
      <c r="K77" s="1129">
        <f t="shared" si="2"/>
        <v>0.1358</v>
      </c>
      <c r="L77" s="1134">
        <f>'1 квартал'!L77+'2 квартал'!L77+0.021+0.028</f>
        <v>0.1358</v>
      </c>
      <c r="M77" s="1134">
        <f>'1 квартал'!M77+'2 квартал'!M77</f>
        <v>0</v>
      </c>
      <c r="N77" s="781">
        <f t="shared" si="17"/>
        <v>0</v>
      </c>
      <c r="O77" s="857"/>
      <c r="P77" s="781">
        <f t="shared" si="18"/>
        <v>0</v>
      </c>
      <c r="Q77" s="781"/>
      <c r="R77" s="781">
        <f t="shared" si="19"/>
        <v>0</v>
      </c>
      <c r="S77" s="781"/>
      <c r="T77" s="781"/>
      <c r="U77" s="781">
        <f t="shared" si="20"/>
        <v>0</v>
      </c>
      <c r="V77" s="781"/>
      <c r="W77" s="781">
        <f t="shared" si="21"/>
        <v>0</v>
      </c>
      <c r="X77" s="781"/>
    </row>
    <row r="78" spans="1:24">
      <c r="A78" s="856"/>
      <c r="B78" s="856"/>
      <c r="C78" s="1130" t="s">
        <v>21</v>
      </c>
      <c r="D78" s="1125">
        <f t="shared" si="22"/>
        <v>1118.0719999999999</v>
      </c>
      <c r="E78" s="781">
        <f t="shared" si="16"/>
        <v>0</v>
      </c>
      <c r="F78" s="688"/>
      <c r="G78" s="688"/>
      <c r="H78" s="1127">
        <f t="shared" ref="H78:H97" si="23">I78+J78</f>
        <v>1007.117</v>
      </c>
      <c r="I78" s="1134">
        <f>'1 квартал'!I78+'2 квартал'!I78+289.935</f>
        <v>1007.117</v>
      </c>
      <c r="J78" s="1134">
        <f>'1 квартал'!J78+'2 квартал'!J78</f>
        <v>0</v>
      </c>
      <c r="K78" s="1129">
        <f t="shared" ref="K78:K97" si="24">L78+M78</f>
        <v>110.955</v>
      </c>
      <c r="L78" s="1134">
        <f>'1 квартал'!L78+'2 квартал'!L78+15.139+30.003</f>
        <v>110.955</v>
      </c>
      <c r="M78" s="1134">
        <f>'1 квартал'!M78+'2 квартал'!M78</f>
        <v>0</v>
      </c>
      <c r="N78" s="781">
        <f t="shared" si="17"/>
        <v>0</v>
      </c>
      <c r="O78" s="857"/>
      <c r="P78" s="781">
        <f t="shared" si="18"/>
        <v>0</v>
      </c>
      <c r="Q78" s="781"/>
      <c r="R78" s="781">
        <f t="shared" si="19"/>
        <v>0</v>
      </c>
      <c r="S78" s="781"/>
      <c r="T78" s="781"/>
      <c r="U78" s="781">
        <f t="shared" si="20"/>
        <v>0</v>
      </c>
      <c r="V78" s="781"/>
      <c r="W78" s="781">
        <f t="shared" si="21"/>
        <v>0</v>
      </c>
      <c r="X78" s="781"/>
    </row>
    <row r="79" spans="1:24">
      <c r="A79" s="1159" t="s">
        <v>90</v>
      </c>
      <c r="B79" s="856" t="s">
        <v>91</v>
      </c>
      <c r="C79" s="1130" t="s">
        <v>51</v>
      </c>
      <c r="D79" s="1125">
        <f t="shared" si="22"/>
        <v>1.9034999999999997</v>
      </c>
      <c r="E79" s="781">
        <f t="shared" si="16"/>
        <v>0</v>
      </c>
      <c r="F79" s="688"/>
      <c r="G79" s="688"/>
      <c r="H79" s="1127">
        <f t="shared" si="23"/>
        <v>1.7723999999999998</v>
      </c>
      <c r="I79" s="1134">
        <f>'1 квартал'!I79+'2 квартал'!I79+0.204+0.305+0.433</f>
        <v>1.7723999999999998</v>
      </c>
      <c r="J79" s="1134">
        <f>'1 квартал'!J79+'2 квартал'!J79</f>
        <v>0</v>
      </c>
      <c r="K79" s="1129">
        <f t="shared" si="24"/>
        <v>0.13109999999999999</v>
      </c>
      <c r="L79" s="1134">
        <f>'1 квартал'!L79+'2 квартал'!L79+0.063+0.029</f>
        <v>0.13109999999999999</v>
      </c>
      <c r="M79" s="1134">
        <f>'1 квартал'!M79+'2 квартал'!M79</f>
        <v>0</v>
      </c>
      <c r="N79" s="781">
        <f t="shared" si="17"/>
        <v>0</v>
      </c>
      <c r="O79" s="857"/>
      <c r="P79" s="781">
        <f t="shared" si="18"/>
        <v>0</v>
      </c>
      <c r="Q79" s="781"/>
      <c r="R79" s="781">
        <f t="shared" si="19"/>
        <v>0</v>
      </c>
      <c r="S79" s="781"/>
      <c r="T79" s="781"/>
      <c r="U79" s="781">
        <f t="shared" si="20"/>
        <v>0</v>
      </c>
      <c r="V79" s="781"/>
      <c r="W79" s="781">
        <f t="shared" si="21"/>
        <v>0</v>
      </c>
      <c r="X79" s="781"/>
    </row>
    <row r="80" spans="1:24">
      <c r="A80" s="856"/>
      <c r="B80" s="856"/>
      <c r="C80" s="1130" t="s">
        <v>21</v>
      </c>
      <c r="D80" s="1125">
        <f t="shared" si="22"/>
        <v>1940.3789999999997</v>
      </c>
      <c r="E80" s="781">
        <f t="shared" si="16"/>
        <v>0</v>
      </c>
      <c r="F80" s="688"/>
      <c r="G80" s="688"/>
      <c r="H80" s="1127">
        <f t="shared" si="23"/>
        <v>1866.3179999999998</v>
      </c>
      <c r="I80" s="1134">
        <f>'1 квартал'!I80+'2 квартал'!I80+220.102+312.309+574.523</f>
        <v>1866.3179999999998</v>
      </c>
      <c r="J80" s="1134">
        <f>'1 квартал'!J80+'2 квартал'!J80</f>
        <v>0</v>
      </c>
      <c r="K80" s="1129">
        <f t="shared" si="24"/>
        <v>74.061000000000007</v>
      </c>
      <c r="L80" s="1134">
        <f>'1 квартал'!L80+'2 квартал'!L80+7.99+38.575</f>
        <v>74.061000000000007</v>
      </c>
      <c r="M80" s="1134">
        <f>'1 квартал'!M80+'2 квартал'!M80</f>
        <v>0</v>
      </c>
      <c r="N80" s="781">
        <f t="shared" si="17"/>
        <v>0</v>
      </c>
      <c r="O80" s="857"/>
      <c r="P80" s="781">
        <f t="shared" si="18"/>
        <v>0</v>
      </c>
      <c r="Q80" s="781"/>
      <c r="R80" s="781">
        <f t="shared" si="19"/>
        <v>0</v>
      </c>
      <c r="S80" s="781"/>
      <c r="T80" s="781"/>
      <c r="U80" s="781">
        <f t="shared" si="20"/>
        <v>0</v>
      </c>
      <c r="V80" s="781"/>
      <c r="W80" s="781">
        <f t="shared" si="21"/>
        <v>0</v>
      </c>
      <c r="X80" s="781"/>
    </row>
    <row r="81" spans="1:24">
      <c r="A81" s="1159" t="s">
        <v>92</v>
      </c>
      <c r="B81" s="856" t="s">
        <v>93</v>
      </c>
      <c r="C81" s="1130" t="s">
        <v>51</v>
      </c>
      <c r="D81" s="1125">
        <f t="shared" si="22"/>
        <v>1.4652499999999999</v>
      </c>
      <c r="E81" s="781">
        <f t="shared" si="16"/>
        <v>0</v>
      </c>
      <c r="F81" s="688"/>
      <c r="G81" s="688"/>
      <c r="H81" s="1127">
        <f t="shared" si="23"/>
        <v>1.38245</v>
      </c>
      <c r="I81" s="1134">
        <f>'1 квартал'!I81+'2 квартал'!I81+0.306+0.15</f>
        <v>1.38245</v>
      </c>
      <c r="J81" s="1134">
        <f>'1 квартал'!J81+'2 квартал'!J81</f>
        <v>0</v>
      </c>
      <c r="K81" s="1129">
        <f t="shared" si="24"/>
        <v>8.2799999999999999E-2</v>
      </c>
      <c r="L81" s="1134">
        <f>'1 квартал'!L81+'2 квартал'!L81+0.03+0.02</f>
        <v>8.2799999999999999E-2</v>
      </c>
      <c r="M81" s="1134">
        <f>'1 квартал'!M81+'2 квартал'!M81</f>
        <v>0</v>
      </c>
      <c r="N81" s="781">
        <f t="shared" si="17"/>
        <v>0</v>
      </c>
      <c r="O81" s="857"/>
      <c r="P81" s="781">
        <f t="shared" si="18"/>
        <v>0</v>
      </c>
      <c r="Q81" s="781"/>
      <c r="R81" s="781">
        <f t="shared" si="19"/>
        <v>0</v>
      </c>
      <c r="S81" s="781"/>
      <c r="T81" s="781"/>
      <c r="U81" s="781">
        <f t="shared" si="20"/>
        <v>0</v>
      </c>
      <c r="V81" s="781"/>
      <c r="W81" s="781">
        <f t="shared" si="21"/>
        <v>0</v>
      </c>
      <c r="X81" s="781"/>
    </row>
    <row r="82" spans="1:24">
      <c r="A82" s="856"/>
      <c r="B82" s="856"/>
      <c r="C82" s="1130" t="s">
        <v>21</v>
      </c>
      <c r="D82" s="1125">
        <f t="shared" si="22"/>
        <v>2606.6775000000002</v>
      </c>
      <c r="E82" s="781">
        <f t="shared" si="16"/>
        <v>0</v>
      </c>
      <c r="F82" s="688"/>
      <c r="G82" s="688"/>
      <c r="H82" s="1127">
        <f t="shared" si="23"/>
        <v>2525.9940000000001</v>
      </c>
      <c r="I82" s="1134">
        <f>'1 квартал'!I82+'2 квартал'!I82+446.942+312.476</f>
        <v>2525.9940000000001</v>
      </c>
      <c r="J82" s="1134">
        <f>'1 квартал'!J82+'2 квартал'!J82</f>
        <v>0</v>
      </c>
      <c r="K82" s="1129">
        <f t="shared" si="24"/>
        <v>80.683500000000009</v>
      </c>
      <c r="L82" s="1134">
        <f>'1 квартал'!L82+'2 квартал'!L82+30.689+3.173</f>
        <v>80.683500000000009</v>
      </c>
      <c r="M82" s="1134">
        <f>'1 квартал'!M82+'2 квартал'!M82</f>
        <v>0</v>
      </c>
      <c r="N82" s="781">
        <f t="shared" si="17"/>
        <v>0</v>
      </c>
      <c r="O82" s="857"/>
      <c r="P82" s="781">
        <f t="shared" si="18"/>
        <v>0</v>
      </c>
      <c r="Q82" s="781"/>
      <c r="R82" s="781">
        <f t="shared" si="19"/>
        <v>0</v>
      </c>
      <c r="S82" s="781"/>
      <c r="T82" s="781"/>
      <c r="U82" s="781">
        <f t="shared" si="20"/>
        <v>0</v>
      </c>
      <c r="V82" s="781"/>
      <c r="W82" s="781">
        <f t="shared" si="21"/>
        <v>0</v>
      </c>
      <c r="X82" s="781"/>
    </row>
    <row r="83" spans="1:24">
      <c r="A83" s="1149">
        <v>19</v>
      </c>
      <c r="B83" s="858" t="s">
        <v>94</v>
      </c>
      <c r="C83" s="1130" t="s">
        <v>47</v>
      </c>
      <c r="D83" s="1125">
        <f t="shared" si="22"/>
        <v>127</v>
      </c>
      <c r="E83" s="781">
        <f t="shared" si="16"/>
        <v>0</v>
      </c>
      <c r="F83" s="688"/>
      <c r="G83" s="688"/>
      <c r="H83" s="1127">
        <f t="shared" si="23"/>
        <v>107</v>
      </c>
      <c r="I83" s="1134">
        <f>'1 квартал'!I83+'2 квартал'!I83+10+20</f>
        <v>107</v>
      </c>
      <c r="J83" s="1134">
        <f>'1 квартал'!J83+'2 квартал'!J83</f>
        <v>0</v>
      </c>
      <c r="K83" s="1129">
        <f t="shared" si="24"/>
        <v>20</v>
      </c>
      <c r="L83" s="1134">
        <f>'1 квартал'!L83+'2 квартал'!L83+7</f>
        <v>20</v>
      </c>
      <c r="M83" s="1134">
        <f>'1 квартал'!M83+'2 квартал'!M83</f>
        <v>0</v>
      </c>
      <c r="N83" s="781">
        <f t="shared" si="17"/>
        <v>0</v>
      </c>
      <c r="O83" s="857"/>
      <c r="P83" s="781">
        <f t="shared" si="18"/>
        <v>0</v>
      </c>
      <c r="Q83" s="781"/>
      <c r="R83" s="781">
        <f t="shared" si="19"/>
        <v>0</v>
      </c>
      <c r="S83" s="781"/>
      <c r="T83" s="781"/>
      <c r="U83" s="781">
        <f t="shared" si="20"/>
        <v>0</v>
      </c>
      <c r="V83" s="781"/>
      <c r="W83" s="781">
        <f t="shared" si="21"/>
        <v>0</v>
      </c>
      <c r="X83" s="781"/>
    </row>
    <row r="84" spans="1:24">
      <c r="A84" s="856"/>
      <c r="B84" s="856"/>
      <c r="C84" s="1130" t="s">
        <v>21</v>
      </c>
      <c r="D84" s="1125">
        <f t="shared" si="22"/>
        <v>776.32900000000006</v>
      </c>
      <c r="E84" s="781">
        <f t="shared" si="16"/>
        <v>0</v>
      </c>
      <c r="F84" s="688"/>
      <c r="G84" s="688"/>
      <c r="H84" s="1127">
        <f t="shared" si="23"/>
        <v>653.02700000000004</v>
      </c>
      <c r="I84" s="1134">
        <f>'1 квартал'!I84+'2 квартал'!I84+57.098+122.354</f>
        <v>653.02700000000004</v>
      </c>
      <c r="J84" s="1134">
        <f>'1 квартал'!J84+'2 квартал'!J84</f>
        <v>0</v>
      </c>
      <c r="K84" s="1129">
        <f t="shared" si="24"/>
        <v>123.30200000000002</v>
      </c>
      <c r="L84" s="1134">
        <f>'1 квартал'!L84+'2 квартал'!L84+44.856</f>
        <v>123.30200000000002</v>
      </c>
      <c r="M84" s="1134">
        <f>'1 квартал'!M84+'2 квартал'!M84</f>
        <v>0</v>
      </c>
      <c r="N84" s="781">
        <f t="shared" si="17"/>
        <v>0</v>
      </c>
      <c r="O84" s="857"/>
      <c r="P84" s="781">
        <f t="shared" si="18"/>
        <v>0</v>
      </c>
      <c r="Q84" s="781"/>
      <c r="R84" s="781">
        <f t="shared" si="19"/>
        <v>0</v>
      </c>
      <c r="S84" s="781"/>
      <c r="T84" s="781"/>
      <c r="U84" s="781">
        <f t="shared" si="20"/>
        <v>0</v>
      </c>
      <c r="V84" s="781"/>
      <c r="W84" s="781">
        <f t="shared" si="21"/>
        <v>0</v>
      </c>
      <c r="X84" s="781"/>
    </row>
    <row r="85" spans="1:24">
      <c r="A85" s="856" t="s">
        <v>95</v>
      </c>
      <c r="B85" s="858" t="s">
        <v>197</v>
      </c>
      <c r="C85" s="1130" t="s">
        <v>47</v>
      </c>
      <c r="D85" s="1125">
        <f t="shared" si="22"/>
        <v>746</v>
      </c>
      <c r="E85" s="781">
        <f t="shared" si="16"/>
        <v>0</v>
      </c>
      <c r="F85" s="688"/>
      <c r="G85" s="688"/>
      <c r="H85" s="1127">
        <f t="shared" si="23"/>
        <v>708</v>
      </c>
      <c r="I85" s="1134">
        <f>'1 квартал'!I85+'2 квартал'!I85+150+115</f>
        <v>708</v>
      </c>
      <c r="J85" s="1134">
        <f>'1 квартал'!J85+'2 квартал'!J85</f>
        <v>0</v>
      </c>
      <c r="K85" s="1129">
        <f t="shared" si="24"/>
        <v>38</v>
      </c>
      <c r="L85" s="1134">
        <f>'1 квартал'!L85+'2 квартал'!L85+9+6</f>
        <v>38</v>
      </c>
      <c r="M85" s="1134">
        <f>'1 квартал'!M85+'2 квартал'!M85</f>
        <v>0</v>
      </c>
      <c r="N85" s="781">
        <f t="shared" si="17"/>
        <v>0</v>
      </c>
      <c r="O85" s="857"/>
      <c r="P85" s="781">
        <f t="shared" si="18"/>
        <v>0</v>
      </c>
      <c r="Q85" s="781"/>
      <c r="R85" s="781">
        <f t="shared" si="19"/>
        <v>0</v>
      </c>
      <c r="S85" s="781"/>
      <c r="T85" s="781"/>
      <c r="U85" s="781">
        <f t="shared" si="20"/>
        <v>0</v>
      </c>
      <c r="V85" s="781"/>
      <c r="W85" s="781">
        <f t="shared" si="21"/>
        <v>0</v>
      </c>
      <c r="X85" s="781"/>
    </row>
    <row r="86" spans="1:24">
      <c r="A86" s="1160"/>
      <c r="B86" s="858" t="s">
        <v>97</v>
      </c>
      <c r="C86" s="1130" t="s">
        <v>21</v>
      </c>
      <c r="D86" s="1125">
        <f t="shared" si="22"/>
        <v>971.87099999999998</v>
      </c>
      <c r="E86" s="781">
        <f t="shared" si="16"/>
        <v>0</v>
      </c>
      <c r="F86" s="688"/>
      <c r="G86" s="688"/>
      <c r="H86" s="1127">
        <f t="shared" si="23"/>
        <v>896.38599999999997</v>
      </c>
      <c r="I86" s="1134">
        <f>'1 квартал'!I86+'2 квартал'!I86+273.921+219.335</f>
        <v>896.38599999999997</v>
      </c>
      <c r="J86" s="1134">
        <f>'1 квартал'!J86+'2 квартал'!J86</f>
        <v>0</v>
      </c>
      <c r="K86" s="1129">
        <f t="shared" si="24"/>
        <v>75.484999999999999</v>
      </c>
      <c r="L86" s="1134">
        <f>'1 квартал'!L86+'2 квартал'!L86+47.758+11.267</f>
        <v>75.484999999999999</v>
      </c>
      <c r="M86" s="1134">
        <f>'1 квартал'!M86+'2 квартал'!M86</f>
        <v>0</v>
      </c>
      <c r="N86" s="781">
        <f t="shared" si="17"/>
        <v>0</v>
      </c>
      <c r="O86" s="857"/>
      <c r="P86" s="781">
        <f t="shared" si="18"/>
        <v>0</v>
      </c>
      <c r="Q86" s="781"/>
      <c r="R86" s="781">
        <f t="shared" si="19"/>
        <v>0</v>
      </c>
      <c r="S86" s="781"/>
      <c r="T86" s="781"/>
      <c r="U86" s="781">
        <f t="shared" si="20"/>
        <v>0</v>
      </c>
      <c r="V86" s="781"/>
      <c r="W86" s="781">
        <f t="shared" si="21"/>
        <v>0</v>
      </c>
      <c r="X86" s="781"/>
    </row>
    <row r="87" spans="1:24">
      <c r="A87" s="1153" t="s">
        <v>98</v>
      </c>
      <c r="B87" s="1154" t="s">
        <v>99</v>
      </c>
      <c r="C87" s="1155" t="s">
        <v>21</v>
      </c>
      <c r="D87" s="1125">
        <f t="shared" si="22"/>
        <v>3075.0129999999995</v>
      </c>
      <c r="E87" s="1156">
        <f t="shared" ref="E87:X87" si="25">E89+E91+E93</f>
        <v>0</v>
      </c>
      <c r="F87" s="1156">
        <f t="shared" si="25"/>
        <v>0</v>
      </c>
      <c r="G87" s="1156">
        <f t="shared" si="25"/>
        <v>0</v>
      </c>
      <c r="H87" s="1127">
        <f>I87+J87</f>
        <v>2990.2739999999994</v>
      </c>
      <c r="I87" s="1157">
        <f t="shared" si="25"/>
        <v>2990.2739999999994</v>
      </c>
      <c r="J87" s="1158">
        <f t="shared" si="25"/>
        <v>0</v>
      </c>
      <c r="K87" s="1129">
        <f>L87+M87</f>
        <v>84.739000000000004</v>
      </c>
      <c r="L87" s="1157">
        <f>L89+L91+L93</f>
        <v>84.739000000000004</v>
      </c>
      <c r="M87" s="1156">
        <f t="shared" si="25"/>
        <v>0</v>
      </c>
      <c r="N87" s="1156">
        <f t="shared" si="25"/>
        <v>0</v>
      </c>
      <c r="O87" s="1156">
        <f t="shared" si="25"/>
        <v>0</v>
      </c>
      <c r="P87" s="1156">
        <f t="shared" si="25"/>
        <v>0</v>
      </c>
      <c r="Q87" s="1156">
        <f t="shared" si="25"/>
        <v>0</v>
      </c>
      <c r="R87" s="1156">
        <f t="shared" si="25"/>
        <v>0</v>
      </c>
      <c r="S87" s="1156">
        <f t="shared" si="25"/>
        <v>0</v>
      </c>
      <c r="T87" s="1156">
        <f t="shared" si="25"/>
        <v>0</v>
      </c>
      <c r="U87" s="1156">
        <f t="shared" si="25"/>
        <v>0</v>
      </c>
      <c r="V87" s="1156">
        <f t="shared" si="25"/>
        <v>0</v>
      </c>
      <c r="W87" s="1156">
        <f t="shared" si="25"/>
        <v>0</v>
      </c>
      <c r="X87" s="1156">
        <f t="shared" si="25"/>
        <v>0</v>
      </c>
    </row>
    <row r="88" spans="1:24">
      <c r="A88" s="1149">
        <v>20</v>
      </c>
      <c r="B88" s="858" t="s">
        <v>100</v>
      </c>
      <c r="C88" s="1130" t="s">
        <v>51</v>
      </c>
      <c r="D88" s="1125">
        <f t="shared" si="22"/>
        <v>2.3050000000000002</v>
      </c>
      <c r="E88" s="781">
        <f>F88+G88</f>
        <v>0</v>
      </c>
      <c r="F88" s="688"/>
      <c r="G88" s="688"/>
      <c r="H88" s="1127">
        <f t="shared" si="23"/>
        <v>2.173</v>
      </c>
      <c r="I88" s="1161">
        <f>'1 квартал'!I88+'2 квартал'!I88+0.035+0.277</f>
        <v>2.173</v>
      </c>
      <c r="J88" s="1161">
        <f>'1 квартал'!J88+'2 квартал'!J88</f>
        <v>0</v>
      </c>
      <c r="K88" s="1129">
        <f t="shared" si="24"/>
        <v>0.13200000000000001</v>
      </c>
      <c r="L88" s="1134">
        <f>'1 квартал'!L88+'2 квартал'!L88+0.066</f>
        <v>0.13200000000000001</v>
      </c>
      <c r="M88" s="1134">
        <f>'1 квартал'!M88+'2 квартал'!M88</f>
        <v>0</v>
      </c>
      <c r="N88" s="781">
        <f t="shared" ref="N88:N93" si="26">O88</f>
        <v>0</v>
      </c>
      <c r="O88" s="856"/>
      <c r="P88" s="781">
        <f t="shared" ref="P88:P93" si="27">Q88</f>
        <v>0</v>
      </c>
      <c r="Q88" s="781"/>
      <c r="R88" s="781">
        <f t="shared" ref="R88:R93" si="28">S88+T88</f>
        <v>0</v>
      </c>
      <c r="S88" s="781"/>
      <c r="T88" s="781"/>
      <c r="U88" s="781">
        <f t="shared" ref="U88:U93" si="29">V88</f>
        <v>0</v>
      </c>
      <c r="V88" s="781"/>
      <c r="W88" s="781">
        <f t="shared" ref="W88:W93" si="30">X88</f>
        <v>0</v>
      </c>
      <c r="X88" s="781"/>
    </row>
    <row r="89" spans="1:24">
      <c r="A89" s="1162"/>
      <c r="B89" s="858" t="s">
        <v>101</v>
      </c>
      <c r="C89" s="1130" t="s">
        <v>21</v>
      </c>
      <c r="D89" s="1125">
        <f t="shared" si="22"/>
        <v>413.18999999999994</v>
      </c>
      <c r="E89" s="781">
        <f>F89+G89</f>
        <v>0</v>
      </c>
      <c r="F89" s="688"/>
      <c r="G89" s="688"/>
      <c r="H89" s="1127">
        <f t="shared" si="23"/>
        <v>405.65099999999995</v>
      </c>
      <c r="I89" s="1161">
        <f>'1 квартал'!I89+'2 квартал'!I89+7.618+61.084</f>
        <v>405.65099999999995</v>
      </c>
      <c r="J89" s="1161">
        <f>'1 квартал'!J89+'2 квартал'!J89</f>
        <v>0</v>
      </c>
      <c r="K89" s="1129">
        <f t="shared" si="24"/>
        <v>7.5389999999999997</v>
      </c>
      <c r="L89" s="1134">
        <f>'1 квартал'!L89+'2 квартал'!L89+0.592</f>
        <v>7.5389999999999997</v>
      </c>
      <c r="M89" s="1134">
        <f>'1 квартал'!M89+'2 квартал'!M89</f>
        <v>0</v>
      </c>
      <c r="N89" s="781">
        <f t="shared" si="26"/>
        <v>0</v>
      </c>
      <c r="O89" s="856"/>
      <c r="P89" s="781">
        <f t="shared" si="27"/>
        <v>0</v>
      </c>
      <c r="Q89" s="781"/>
      <c r="R89" s="781">
        <f t="shared" si="28"/>
        <v>0</v>
      </c>
      <c r="S89" s="781"/>
      <c r="T89" s="781"/>
      <c r="U89" s="781">
        <f t="shared" si="29"/>
        <v>0</v>
      </c>
      <c r="V89" s="781"/>
      <c r="W89" s="781">
        <f t="shared" si="30"/>
        <v>0</v>
      </c>
      <c r="X89" s="781"/>
    </row>
    <row r="90" spans="1:24">
      <c r="A90" s="1149">
        <v>21</v>
      </c>
      <c r="B90" s="858" t="s">
        <v>102</v>
      </c>
      <c r="C90" s="1130" t="s">
        <v>47</v>
      </c>
      <c r="D90" s="1125">
        <f t="shared" si="22"/>
        <v>2219</v>
      </c>
      <c r="E90" s="781">
        <v>0</v>
      </c>
      <c r="F90" s="688"/>
      <c r="G90" s="688"/>
      <c r="H90" s="1127">
        <f>I90+J91</f>
        <v>2143</v>
      </c>
      <c r="I90" s="1161">
        <f>'1 квартал'!I90+'2 квартал'!I90+127+232</f>
        <v>2143</v>
      </c>
      <c r="J90" s="1161">
        <f>'1 квартал'!J90+'2 квартал'!J90</f>
        <v>0</v>
      </c>
      <c r="K90" s="1129">
        <f t="shared" si="24"/>
        <v>76</v>
      </c>
      <c r="L90" s="1134">
        <f>'1 квартал'!L90+'2 квартал'!L90+5+12</f>
        <v>76</v>
      </c>
      <c r="M90" s="1134">
        <f>'1 квартал'!M90+'2 квартал'!M90</f>
        <v>0</v>
      </c>
      <c r="N90" s="781">
        <f t="shared" si="26"/>
        <v>0</v>
      </c>
      <c r="O90" s="856"/>
      <c r="P90" s="781">
        <f t="shared" si="27"/>
        <v>0</v>
      </c>
      <c r="Q90" s="781"/>
      <c r="R90" s="781">
        <f t="shared" si="28"/>
        <v>0</v>
      </c>
      <c r="S90" s="781"/>
      <c r="T90" s="781"/>
      <c r="U90" s="781">
        <f t="shared" si="29"/>
        <v>0</v>
      </c>
      <c r="V90" s="781"/>
      <c r="W90" s="781">
        <f t="shared" si="30"/>
        <v>0</v>
      </c>
      <c r="X90" s="781"/>
    </row>
    <row r="91" spans="1:24">
      <c r="A91" s="1162"/>
      <c r="B91" s="858" t="s">
        <v>103</v>
      </c>
      <c r="C91" s="1130" t="s">
        <v>21</v>
      </c>
      <c r="D91" s="1125">
        <f t="shared" si="22"/>
        <v>2063.5569999999998</v>
      </c>
      <c r="E91" s="781">
        <f>F91+G91</f>
        <v>0</v>
      </c>
      <c r="F91" s="688"/>
      <c r="G91" s="688"/>
      <c r="H91" s="1127">
        <f t="shared" ref="H91:H93" si="31">I91+J92</f>
        <v>2005.0749999999996</v>
      </c>
      <c r="I91" s="1161">
        <f>'1 квартал'!I91+'2 квартал'!I91+68.978+207.732</f>
        <v>2005.0749999999996</v>
      </c>
      <c r="J91" s="1161">
        <f>'1 квартал'!J91+'2 квартал'!J91</f>
        <v>0</v>
      </c>
      <c r="K91" s="1129">
        <f t="shared" si="24"/>
        <v>58.481999999999999</v>
      </c>
      <c r="L91" s="1134">
        <f>'1 квартал'!L91+'2 квартал'!L91+2.377+8.442</f>
        <v>58.481999999999999</v>
      </c>
      <c r="M91" s="1134">
        <f>'1 квартал'!M91+'2 квартал'!M91</f>
        <v>0</v>
      </c>
      <c r="N91" s="781">
        <f t="shared" si="26"/>
        <v>0</v>
      </c>
      <c r="O91" s="856"/>
      <c r="P91" s="781">
        <f t="shared" si="27"/>
        <v>0</v>
      </c>
      <c r="Q91" s="781"/>
      <c r="R91" s="781">
        <f t="shared" si="28"/>
        <v>0</v>
      </c>
      <c r="S91" s="781"/>
      <c r="T91" s="781"/>
      <c r="U91" s="781">
        <f t="shared" si="29"/>
        <v>0</v>
      </c>
      <c r="V91" s="781"/>
      <c r="W91" s="781">
        <f t="shared" si="30"/>
        <v>0</v>
      </c>
      <c r="X91" s="781"/>
    </row>
    <row r="92" spans="1:24">
      <c r="A92" s="856" t="s">
        <v>104</v>
      </c>
      <c r="B92" s="858" t="s">
        <v>105</v>
      </c>
      <c r="C92" s="1130" t="s">
        <v>47</v>
      </c>
      <c r="D92" s="1125">
        <f t="shared" si="22"/>
        <v>148</v>
      </c>
      <c r="E92" s="781">
        <f>F92+G92</f>
        <v>0</v>
      </c>
      <c r="F92" s="688"/>
      <c r="G92" s="688"/>
      <c r="H92" s="1127">
        <f t="shared" si="31"/>
        <v>140</v>
      </c>
      <c r="I92" s="1161">
        <f>'1 квартал'!I92+'2 квартал'!I92+12+16</f>
        <v>140</v>
      </c>
      <c r="J92" s="1161">
        <f>'1 квартал'!J92+'2 квартал'!J92</f>
        <v>0</v>
      </c>
      <c r="K92" s="1129">
        <f t="shared" si="24"/>
        <v>8</v>
      </c>
      <c r="L92" s="1134">
        <f>'1 квартал'!L92+'2 квартал'!L92+2</f>
        <v>8</v>
      </c>
      <c r="M92" s="1134">
        <f>'1 квартал'!M92+'2 квартал'!M92</f>
        <v>0</v>
      </c>
      <c r="N92" s="781">
        <f t="shared" si="26"/>
        <v>0</v>
      </c>
      <c r="O92" s="857"/>
      <c r="P92" s="781">
        <f t="shared" si="27"/>
        <v>0</v>
      </c>
      <c r="Q92" s="781"/>
      <c r="R92" s="781">
        <f t="shared" si="28"/>
        <v>0</v>
      </c>
      <c r="S92" s="781"/>
      <c r="T92" s="781"/>
      <c r="U92" s="781">
        <f t="shared" si="29"/>
        <v>0</v>
      </c>
      <c r="V92" s="781"/>
      <c r="W92" s="781">
        <f t="shared" si="30"/>
        <v>0</v>
      </c>
      <c r="X92" s="781"/>
    </row>
    <row r="93" spans="1:24">
      <c r="A93" s="856"/>
      <c r="B93" s="858"/>
      <c r="C93" s="1130" t="s">
        <v>21</v>
      </c>
      <c r="D93" s="1125">
        <f t="shared" si="22"/>
        <v>598.26599999999996</v>
      </c>
      <c r="E93" s="781">
        <f>F93+G93</f>
        <v>0</v>
      </c>
      <c r="F93" s="688"/>
      <c r="G93" s="688"/>
      <c r="H93" s="1127">
        <f t="shared" si="31"/>
        <v>579.548</v>
      </c>
      <c r="I93" s="1161">
        <f>'1 квартал'!I93+'2 квартал'!I93+31.407+113.905</f>
        <v>579.548</v>
      </c>
      <c r="J93" s="1161">
        <f>'1 квартал'!J93+'2 квартал'!J93</f>
        <v>0</v>
      </c>
      <c r="K93" s="1129">
        <f t="shared" si="24"/>
        <v>18.718</v>
      </c>
      <c r="L93" s="1134">
        <f>'1 квартал'!L93+'2 квартал'!L93+3.752</f>
        <v>18.718</v>
      </c>
      <c r="M93" s="1134">
        <f>'1 квартал'!M93+'2 квартал'!M93</f>
        <v>0</v>
      </c>
      <c r="N93" s="781">
        <f t="shared" si="26"/>
        <v>0</v>
      </c>
      <c r="O93" s="857"/>
      <c r="P93" s="781">
        <f t="shared" si="27"/>
        <v>0</v>
      </c>
      <c r="Q93" s="781"/>
      <c r="R93" s="781">
        <f t="shared" si="28"/>
        <v>0</v>
      </c>
      <c r="S93" s="781"/>
      <c r="T93" s="781"/>
      <c r="U93" s="781">
        <f t="shared" si="29"/>
        <v>0</v>
      </c>
      <c r="V93" s="781"/>
      <c r="W93" s="781">
        <f t="shared" si="30"/>
        <v>0</v>
      </c>
      <c r="X93" s="781"/>
    </row>
    <row r="94" spans="1:24" ht="39.75" customHeight="1">
      <c r="A94" s="1163" t="s">
        <v>106</v>
      </c>
      <c r="B94" s="1164" t="s">
        <v>107</v>
      </c>
      <c r="C94" s="1165" t="s">
        <v>21</v>
      </c>
      <c r="D94" s="1125">
        <f t="shared" si="22"/>
        <v>0</v>
      </c>
      <c r="E94" s="1166">
        <f t="shared" ref="E94:X94" si="32">E95+E96</f>
        <v>0</v>
      </c>
      <c r="F94" s="1166">
        <f t="shared" si="32"/>
        <v>0</v>
      </c>
      <c r="G94" s="1166">
        <f t="shared" si="32"/>
        <v>0</v>
      </c>
      <c r="H94" s="1127">
        <f t="shared" si="23"/>
        <v>0</v>
      </c>
      <c r="I94" s="1167">
        <f t="shared" si="32"/>
        <v>0</v>
      </c>
      <c r="J94" s="1168">
        <f t="shared" si="32"/>
        <v>0</v>
      </c>
      <c r="K94" s="1129">
        <f t="shared" si="24"/>
        <v>0</v>
      </c>
      <c r="L94" s="1167">
        <f t="shared" si="32"/>
        <v>0</v>
      </c>
      <c r="M94" s="1166">
        <f t="shared" si="32"/>
        <v>0</v>
      </c>
      <c r="N94" s="1166">
        <f t="shared" si="32"/>
        <v>0</v>
      </c>
      <c r="O94" s="1166">
        <f t="shared" si="32"/>
        <v>0</v>
      </c>
      <c r="P94" s="1166">
        <f t="shared" si="32"/>
        <v>0</v>
      </c>
      <c r="Q94" s="1166">
        <f t="shared" si="32"/>
        <v>0</v>
      </c>
      <c r="R94" s="1166">
        <f t="shared" si="32"/>
        <v>0</v>
      </c>
      <c r="S94" s="1166">
        <f t="shared" si="32"/>
        <v>0</v>
      </c>
      <c r="T94" s="1166">
        <f t="shared" si="32"/>
        <v>0</v>
      </c>
      <c r="U94" s="1166">
        <f t="shared" si="32"/>
        <v>0</v>
      </c>
      <c r="V94" s="1166">
        <f t="shared" si="32"/>
        <v>0</v>
      </c>
      <c r="W94" s="1166">
        <f t="shared" si="32"/>
        <v>0</v>
      </c>
      <c r="X94" s="1166">
        <f t="shared" si="32"/>
        <v>0</v>
      </c>
    </row>
    <row r="95" spans="1:24">
      <c r="A95" s="856" t="s">
        <v>108</v>
      </c>
      <c r="B95" s="858" t="s">
        <v>304</v>
      </c>
      <c r="C95" s="1130" t="s">
        <v>21</v>
      </c>
      <c r="D95" s="1125">
        <f t="shared" si="22"/>
        <v>0</v>
      </c>
      <c r="E95" s="781">
        <f>F95+G95</f>
        <v>0</v>
      </c>
      <c r="F95" s="688"/>
      <c r="G95" s="688"/>
      <c r="H95" s="1127">
        <f t="shared" si="23"/>
        <v>0</v>
      </c>
      <c r="I95" s="1134">
        <f>'1 квартал'!I95+'2 квартал'!I95</f>
        <v>0</v>
      </c>
      <c r="J95" s="1134">
        <f>'1 квартал'!J95+'2 квартал'!J95</f>
        <v>0</v>
      </c>
      <c r="K95" s="1129">
        <f t="shared" si="24"/>
        <v>0</v>
      </c>
      <c r="L95" s="1134">
        <f>'1 квартал'!L95+'2 квартал'!L95</f>
        <v>0</v>
      </c>
      <c r="M95" s="1134">
        <f>'1 квартал'!M95+'2 квартал'!M95</f>
        <v>0</v>
      </c>
      <c r="N95" s="781">
        <f>O95</f>
        <v>0</v>
      </c>
      <c r="O95" s="857"/>
      <c r="P95" s="781">
        <f>Q95</f>
        <v>0</v>
      </c>
      <c r="Q95" s="781"/>
      <c r="R95" s="781">
        <f>S95+T95</f>
        <v>0</v>
      </c>
      <c r="S95" s="781"/>
      <c r="T95" s="781"/>
      <c r="U95" s="781">
        <f>V95</f>
        <v>0</v>
      </c>
      <c r="V95" s="781"/>
      <c r="W95" s="781">
        <f>X95</f>
        <v>0</v>
      </c>
      <c r="X95" s="781"/>
    </row>
    <row r="96" spans="1:24">
      <c r="A96" s="856" t="s">
        <v>109</v>
      </c>
      <c r="B96" s="858" t="s">
        <v>305</v>
      </c>
      <c r="C96" s="1130" t="s">
        <v>21</v>
      </c>
      <c r="D96" s="1125">
        <f t="shared" si="22"/>
        <v>0</v>
      </c>
      <c r="E96" s="781">
        <f>F96+G96</f>
        <v>0</v>
      </c>
      <c r="F96" s="688"/>
      <c r="G96" s="688"/>
      <c r="H96" s="1127">
        <f t="shared" si="23"/>
        <v>0</v>
      </c>
      <c r="I96" s="1134">
        <f>'1 квартал'!I96+'2 квартал'!I96</f>
        <v>0</v>
      </c>
      <c r="J96" s="1134">
        <f>'1 квартал'!J96+'2 квартал'!J96</f>
        <v>0</v>
      </c>
      <c r="K96" s="1129">
        <f t="shared" si="24"/>
        <v>0</v>
      </c>
      <c r="L96" s="1134">
        <f>'1 квартал'!L96+'2 квартал'!L96</f>
        <v>0</v>
      </c>
      <c r="M96" s="1134">
        <f>'1 квартал'!M96+'2 квартал'!M96</f>
        <v>0</v>
      </c>
      <c r="N96" s="781">
        <f>O96</f>
        <v>0</v>
      </c>
      <c r="O96" s="857"/>
      <c r="P96" s="781">
        <f>Q96</f>
        <v>0</v>
      </c>
      <c r="Q96" s="781"/>
      <c r="R96" s="781">
        <f>S96+T96</f>
        <v>0</v>
      </c>
      <c r="S96" s="781"/>
      <c r="T96" s="781"/>
      <c r="U96" s="781">
        <f>V96</f>
        <v>0</v>
      </c>
      <c r="V96" s="781"/>
      <c r="W96" s="781">
        <f>X96</f>
        <v>0</v>
      </c>
      <c r="X96" s="781"/>
    </row>
    <row r="97" spans="1:24">
      <c r="A97" s="1153" t="s">
        <v>110</v>
      </c>
      <c r="B97" s="1154" t="s">
        <v>111</v>
      </c>
      <c r="C97" s="1155" t="s">
        <v>21</v>
      </c>
      <c r="D97" s="1125">
        <f t="shared" si="22"/>
        <v>1302.4290000000001</v>
      </c>
      <c r="E97" s="1156">
        <f>F97+G97</f>
        <v>0</v>
      </c>
      <c r="F97" s="1169"/>
      <c r="G97" s="1169"/>
      <c r="H97" s="1127">
        <f t="shared" si="23"/>
        <v>1208.0720000000001</v>
      </c>
      <c r="I97" s="1170">
        <f>'1 квартал'!I97+'2 квартал'!I97+405.822+200.461</f>
        <v>1208.0720000000001</v>
      </c>
      <c r="J97" s="1170">
        <f>'1 квартал'!J97+'2 квартал'!J97</f>
        <v>0</v>
      </c>
      <c r="K97" s="1129">
        <f t="shared" si="24"/>
        <v>94.356999999999999</v>
      </c>
      <c r="L97" s="1171">
        <f>'1 квартал'!L97+'2 квартал'!L97+29.892+30.292</f>
        <v>94.356999999999999</v>
      </c>
      <c r="M97" s="1171">
        <f>'1 квартал'!M97+'2 квартал'!M97</f>
        <v>0</v>
      </c>
      <c r="N97" s="1156">
        <f>O97</f>
        <v>0</v>
      </c>
      <c r="O97" s="1172"/>
      <c r="P97" s="1156">
        <f>Q97</f>
        <v>0</v>
      </c>
      <c r="Q97" s="1156"/>
      <c r="R97" s="1156">
        <f>S97+T97</f>
        <v>0</v>
      </c>
      <c r="S97" s="1156"/>
      <c r="T97" s="1156"/>
      <c r="U97" s="1156">
        <f>V97</f>
        <v>0</v>
      </c>
      <c r="V97" s="1156"/>
      <c r="W97" s="1156">
        <f>X97</f>
        <v>0</v>
      </c>
      <c r="X97" s="1156"/>
    </row>
    <row r="98" spans="1:24" ht="15.75" thickBot="1">
      <c r="A98" s="1150"/>
      <c r="B98" s="858" t="s">
        <v>112</v>
      </c>
      <c r="C98" s="1130" t="s">
        <v>21</v>
      </c>
      <c r="D98" s="1173">
        <f>H98+K98</f>
        <v>23742.460499999997</v>
      </c>
      <c r="E98" s="1174">
        <f t="shared" ref="E98:X98" si="33">E97+E94+E87+E72+E13</f>
        <v>0</v>
      </c>
      <c r="F98" s="1174">
        <f t="shared" si="33"/>
        <v>0</v>
      </c>
      <c r="G98" s="1174">
        <f t="shared" si="33"/>
        <v>0</v>
      </c>
      <c r="H98" s="1175">
        <f>I98+J98</f>
        <v>22177.524999999998</v>
      </c>
      <c r="I98" s="1131">
        <f>I97+I94+I87+I72+I13</f>
        <v>20225.298999999999</v>
      </c>
      <c r="J98" s="1132">
        <f>J97+J94+J87+J72+J13</f>
        <v>1952.2259999999999</v>
      </c>
      <c r="K98" s="1176">
        <f>L98+M98</f>
        <v>1564.9355000000003</v>
      </c>
      <c r="L98" s="1131">
        <f t="shared" si="33"/>
        <v>1468.8435000000002</v>
      </c>
      <c r="M98" s="781">
        <f>M97+M94+M87+M72+M13</f>
        <v>96.091999999999999</v>
      </c>
      <c r="N98" s="781">
        <f t="shared" si="33"/>
        <v>0</v>
      </c>
      <c r="O98" s="781">
        <f t="shared" si="33"/>
        <v>0</v>
      </c>
      <c r="P98" s="781">
        <f t="shared" si="33"/>
        <v>0</v>
      </c>
      <c r="Q98" s="781">
        <f t="shared" si="33"/>
        <v>0</v>
      </c>
      <c r="R98" s="781">
        <f t="shared" si="33"/>
        <v>0</v>
      </c>
      <c r="S98" s="781">
        <f t="shared" si="33"/>
        <v>0</v>
      </c>
      <c r="T98" s="781">
        <f t="shared" si="33"/>
        <v>0</v>
      </c>
      <c r="U98" s="781">
        <f t="shared" si="33"/>
        <v>0</v>
      </c>
      <c r="V98" s="781">
        <f t="shared" si="33"/>
        <v>0</v>
      </c>
      <c r="W98" s="781">
        <f t="shared" si="33"/>
        <v>0</v>
      </c>
      <c r="X98" s="781">
        <f t="shared" si="33"/>
        <v>0</v>
      </c>
    </row>
    <row r="99" spans="1:24">
      <c r="A99" s="823"/>
      <c r="B99" s="824"/>
      <c r="C99" s="824"/>
      <c r="D99" s="824">
        <v>80648.726999999999</v>
      </c>
      <c r="E99" s="824">
        <f>80648.727-D98</f>
        <v>56906.266499999998</v>
      </c>
      <c r="F99" s="824"/>
      <c r="G99" s="824"/>
      <c r="H99" s="824"/>
      <c r="I99" s="824"/>
      <c r="J99" s="824"/>
      <c r="K99" s="824"/>
      <c r="L99" s="824"/>
      <c r="M99" s="824"/>
      <c r="N99" s="824"/>
      <c r="O99" s="824"/>
      <c r="P99" s="824"/>
      <c r="Q99" s="824"/>
      <c r="R99" s="824"/>
      <c r="S99" s="824"/>
      <c r="T99" s="824"/>
      <c r="U99" s="824"/>
      <c r="V99" s="824"/>
      <c r="W99" s="824"/>
      <c r="X99" s="824"/>
    </row>
    <row r="100" spans="1:24">
      <c r="A100" s="825"/>
      <c r="B100" s="825"/>
      <c r="C100" s="825"/>
      <c r="D100" s="1177">
        <f>I51</f>
        <v>649.04199999999992</v>
      </c>
      <c r="E100" s="825"/>
      <c r="F100" s="825"/>
      <c r="G100" s="825"/>
      <c r="H100" s="825"/>
      <c r="I100" s="825">
        <f>H97-I97</f>
        <v>0</v>
      </c>
      <c r="J100" s="825">
        <f>I97+E99</f>
        <v>58114.338499999998</v>
      </c>
      <c r="K100" s="825"/>
      <c r="L100" s="825"/>
      <c r="M100" s="825">
        <f>9567.184-K98</f>
        <v>8002.2484999999988</v>
      </c>
      <c r="N100" s="825"/>
      <c r="O100" s="825"/>
      <c r="P100" s="825"/>
      <c r="Q100" s="825"/>
      <c r="R100" s="825"/>
      <c r="S100" s="825"/>
      <c r="T100" s="825"/>
      <c r="U100" s="825"/>
      <c r="V100" s="825"/>
      <c r="W100" s="825"/>
      <c r="X100" s="825"/>
    </row>
    <row r="101" spans="1:24">
      <c r="A101" s="1733" t="s">
        <v>113</v>
      </c>
      <c r="B101" s="1733"/>
      <c r="C101" s="1733"/>
      <c r="D101" s="1733"/>
      <c r="E101" s="1733"/>
      <c r="F101" s="1733"/>
      <c r="G101" s="1733"/>
      <c r="H101" s="1733"/>
      <c r="I101" s="1733"/>
      <c r="J101" s="1733"/>
      <c r="K101" s="1733"/>
      <c r="L101" s="1733"/>
      <c r="M101" s="1733"/>
      <c r="N101" s="1733"/>
      <c r="O101" s="1733"/>
      <c r="P101" s="1733"/>
      <c r="Q101" s="1733"/>
      <c r="R101" s="1733"/>
      <c r="S101" s="1733"/>
      <c r="T101" s="1733"/>
      <c r="U101" s="826"/>
      <c r="V101" s="826"/>
      <c r="W101" s="826"/>
      <c r="X101" s="826"/>
    </row>
    <row r="102" spans="1:24">
      <c r="A102" s="856" t="s">
        <v>114</v>
      </c>
      <c r="B102" s="858" t="s">
        <v>115</v>
      </c>
      <c r="C102" s="856" t="s">
        <v>47</v>
      </c>
      <c r="D102" s="781">
        <f t="shared" ref="D102:D127" si="34">E102+H102+K102+N102+P102+R102+U102+W102</f>
        <v>0</v>
      </c>
      <c r="E102" s="781">
        <f t="shared" ref="E102:E127" si="35">F102+G102</f>
        <v>0</v>
      </c>
      <c r="F102" s="857"/>
      <c r="G102" s="857"/>
      <c r="H102" s="781">
        <f t="shared" ref="H102:H138" si="36">I102+J102</f>
        <v>0</v>
      </c>
      <c r="I102" s="857"/>
      <c r="J102" s="857"/>
      <c r="K102" s="781">
        <f t="shared" ref="K102:K138" si="37">L102+M102</f>
        <v>0</v>
      </c>
      <c r="L102" s="857"/>
      <c r="M102" s="857"/>
      <c r="N102" s="781">
        <f t="shared" ref="N102:N138" si="38">O102</f>
        <v>0</v>
      </c>
      <c r="O102" s="857"/>
      <c r="P102" s="781">
        <f t="shared" ref="P102:P138" si="39">Q102</f>
        <v>0</v>
      </c>
      <c r="Q102" s="856"/>
      <c r="R102" s="781">
        <f t="shared" ref="R102:R138" si="40">S102+T102</f>
        <v>0</v>
      </c>
      <c r="S102" s="781"/>
      <c r="T102" s="856"/>
      <c r="U102" s="781">
        <f t="shared" ref="U102:U138" si="41">V102</f>
        <v>0</v>
      </c>
      <c r="V102" s="781"/>
      <c r="W102" s="781">
        <f t="shared" ref="W102:W138" si="42">X102</f>
        <v>0</v>
      </c>
      <c r="X102" s="781"/>
    </row>
    <row r="103" spans="1:24">
      <c r="A103" s="856"/>
      <c r="B103" s="858" t="s">
        <v>116</v>
      </c>
      <c r="C103" s="856" t="s">
        <v>21</v>
      </c>
      <c r="D103" s="781">
        <f t="shared" si="34"/>
        <v>0</v>
      </c>
      <c r="E103" s="781">
        <f t="shared" si="35"/>
        <v>0</v>
      </c>
      <c r="F103" s="857"/>
      <c r="G103" s="857"/>
      <c r="H103" s="781">
        <f t="shared" si="36"/>
        <v>0</v>
      </c>
      <c r="I103" s="857"/>
      <c r="J103" s="857"/>
      <c r="K103" s="781">
        <f t="shared" si="37"/>
        <v>0</v>
      </c>
      <c r="L103" s="857"/>
      <c r="M103" s="857"/>
      <c r="N103" s="781">
        <f t="shared" si="38"/>
        <v>0</v>
      </c>
      <c r="O103" s="857"/>
      <c r="P103" s="781">
        <f t="shared" si="39"/>
        <v>0</v>
      </c>
      <c r="Q103" s="856"/>
      <c r="R103" s="781">
        <f t="shared" si="40"/>
        <v>0</v>
      </c>
      <c r="S103" s="781"/>
      <c r="T103" s="856"/>
      <c r="U103" s="781">
        <f t="shared" si="41"/>
        <v>0</v>
      </c>
      <c r="V103" s="781"/>
      <c r="W103" s="781">
        <f t="shared" si="42"/>
        <v>0</v>
      </c>
      <c r="X103" s="781"/>
    </row>
    <row r="104" spans="1:24">
      <c r="A104" s="856" t="s">
        <v>117</v>
      </c>
      <c r="B104" s="858" t="s">
        <v>118</v>
      </c>
      <c r="C104" s="856" t="s">
        <v>47</v>
      </c>
      <c r="D104" s="781">
        <f t="shared" si="34"/>
        <v>0</v>
      </c>
      <c r="E104" s="781">
        <f t="shared" si="35"/>
        <v>0</v>
      </c>
      <c r="F104" s="857"/>
      <c r="G104" s="857"/>
      <c r="H104" s="781">
        <f t="shared" si="36"/>
        <v>0</v>
      </c>
      <c r="I104" s="857"/>
      <c r="J104" s="857"/>
      <c r="K104" s="781">
        <f t="shared" si="37"/>
        <v>0</v>
      </c>
      <c r="L104" s="857"/>
      <c r="M104" s="857"/>
      <c r="N104" s="781">
        <f t="shared" si="38"/>
        <v>0</v>
      </c>
      <c r="O104" s="857"/>
      <c r="P104" s="781">
        <f t="shared" si="39"/>
        <v>0</v>
      </c>
      <c r="Q104" s="856"/>
      <c r="R104" s="781">
        <f t="shared" si="40"/>
        <v>0</v>
      </c>
      <c r="S104" s="781"/>
      <c r="T104" s="856"/>
      <c r="U104" s="781">
        <f t="shared" si="41"/>
        <v>0</v>
      </c>
      <c r="V104" s="781"/>
      <c r="W104" s="781">
        <f t="shared" si="42"/>
        <v>0</v>
      </c>
      <c r="X104" s="781"/>
    </row>
    <row r="105" spans="1:24">
      <c r="A105" s="856"/>
      <c r="B105" s="856"/>
      <c r="C105" s="856" t="s">
        <v>21</v>
      </c>
      <c r="D105" s="781">
        <f t="shared" si="34"/>
        <v>0</v>
      </c>
      <c r="E105" s="781">
        <f t="shared" si="35"/>
        <v>0</v>
      </c>
      <c r="F105" s="857"/>
      <c r="G105" s="857"/>
      <c r="H105" s="781">
        <f t="shared" si="36"/>
        <v>0</v>
      </c>
      <c r="I105" s="857"/>
      <c r="J105" s="857"/>
      <c r="K105" s="781">
        <f t="shared" si="37"/>
        <v>0</v>
      </c>
      <c r="L105" s="857"/>
      <c r="M105" s="857"/>
      <c r="N105" s="781">
        <f t="shared" si="38"/>
        <v>0</v>
      </c>
      <c r="O105" s="857"/>
      <c r="P105" s="781">
        <f t="shared" si="39"/>
        <v>0</v>
      </c>
      <c r="Q105" s="856"/>
      <c r="R105" s="781">
        <f t="shared" si="40"/>
        <v>0</v>
      </c>
      <c r="S105" s="781"/>
      <c r="T105" s="856"/>
      <c r="U105" s="781">
        <f t="shared" si="41"/>
        <v>0</v>
      </c>
      <c r="V105" s="781"/>
      <c r="W105" s="781">
        <f t="shared" si="42"/>
        <v>0</v>
      </c>
      <c r="X105" s="781"/>
    </row>
    <row r="106" spans="1:24">
      <c r="A106" s="856" t="s">
        <v>119</v>
      </c>
      <c r="B106" s="858" t="s">
        <v>120</v>
      </c>
      <c r="C106" s="856" t="s">
        <v>47</v>
      </c>
      <c r="D106" s="781">
        <f t="shared" si="34"/>
        <v>0</v>
      </c>
      <c r="E106" s="781">
        <f t="shared" si="35"/>
        <v>0</v>
      </c>
      <c r="F106" s="857"/>
      <c r="G106" s="857"/>
      <c r="H106" s="781">
        <f t="shared" si="36"/>
        <v>0</v>
      </c>
      <c r="I106" s="857"/>
      <c r="J106" s="857"/>
      <c r="K106" s="781">
        <f t="shared" si="37"/>
        <v>0</v>
      </c>
      <c r="L106" s="857"/>
      <c r="M106" s="857"/>
      <c r="N106" s="781">
        <f t="shared" si="38"/>
        <v>0</v>
      </c>
      <c r="O106" s="857"/>
      <c r="P106" s="781">
        <f t="shared" si="39"/>
        <v>0</v>
      </c>
      <c r="Q106" s="856"/>
      <c r="R106" s="781">
        <f t="shared" si="40"/>
        <v>0</v>
      </c>
      <c r="S106" s="781"/>
      <c r="T106" s="856"/>
      <c r="U106" s="781">
        <f t="shared" si="41"/>
        <v>0</v>
      </c>
      <c r="V106" s="781"/>
      <c r="W106" s="781">
        <f t="shared" si="42"/>
        <v>0</v>
      </c>
      <c r="X106" s="781"/>
    </row>
    <row r="107" spans="1:24">
      <c r="A107" s="856"/>
      <c r="B107" s="856"/>
      <c r="C107" s="856" t="s">
        <v>21</v>
      </c>
      <c r="D107" s="781">
        <f t="shared" si="34"/>
        <v>0</v>
      </c>
      <c r="E107" s="781">
        <f t="shared" si="35"/>
        <v>0</v>
      </c>
      <c r="F107" s="857"/>
      <c r="G107" s="857"/>
      <c r="H107" s="781">
        <f t="shared" si="36"/>
        <v>0</v>
      </c>
      <c r="I107" s="857"/>
      <c r="J107" s="857"/>
      <c r="K107" s="781">
        <f t="shared" si="37"/>
        <v>0</v>
      </c>
      <c r="L107" s="857"/>
      <c r="M107" s="857"/>
      <c r="N107" s="781">
        <f t="shared" si="38"/>
        <v>0</v>
      </c>
      <c r="O107" s="857"/>
      <c r="P107" s="781">
        <f t="shared" si="39"/>
        <v>0</v>
      </c>
      <c r="Q107" s="856"/>
      <c r="R107" s="781">
        <f t="shared" si="40"/>
        <v>0</v>
      </c>
      <c r="S107" s="781"/>
      <c r="T107" s="856"/>
      <c r="U107" s="781">
        <f t="shared" si="41"/>
        <v>0</v>
      </c>
      <c r="V107" s="781"/>
      <c r="W107" s="781">
        <f t="shared" si="42"/>
        <v>0</v>
      </c>
      <c r="X107" s="781"/>
    </row>
    <row r="108" spans="1:24">
      <c r="A108" s="856" t="s">
        <v>121</v>
      </c>
      <c r="B108" s="858" t="s">
        <v>122</v>
      </c>
      <c r="C108" s="856" t="s">
        <v>24</v>
      </c>
      <c r="D108" s="781">
        <f t="shared" si="34"/>
        <v>0</v>
      </c>
      <c r="E108" s="781">
        <f t="shared" si="35"/>
        <v>0</v>
      </c>
      <c r="F108" s="857"/>
      <c r="G108" s="857"/>
      <c r="H108" s="781">
        <f t="shared" si="36"/>
        <v>0</v>
      </c>
      <c r="I108" s="857"/>
      <c r="J108" s="857"/>
      <c r="K108" s="781">
        <f t="shared" si="37"/>
        <v>0</v>
      </c>
      <c r="L108" s="857"/>
      <c r="M108" s="857"/>
      <c r="N108" s="781">
        <f t="shared" si="38"/>
        <v>0</v>
      </c>
      <c r="O108" s="857"/>
      <c r="P108" s="781">
        <f t="shared" si="39"/>
        <v>0</v>
      </c>
      <c r="Q108" s="856"/>
      <c r="R108" s="781">
        <f t="shared" si="40"/>
        <v>0</v>
      </c>
      <c r="S108" s="781"/>
      <c r="T108" s="856"/>
      <c r="U108" s="781">
        <f t="shared" si="41"/>
        <v>0</v>
      </c>
      <c r="V108" s="781"/>
      <c r="W108" s="781">
        <f t="shared" si="42"/>
        <v>0</v>
      </c>
      <c r="X108" s="781"/>
    </row>
    <row r="109" spans="1:24">
      <c r="A109" s="856"/>
      <c r="B109" s="858" t="s">
        <v>123</v>
      </c>
      <c r="C109" s="856" t="s">
        <v>21</v>
      </c>
      <c r="D109" s="781">
        <f t="shared" si="34"/>
        <v>0</v>
      </c>
      <c r="E109" s="781">
        <f t="shared" si="35"/>
        <v>0</v>
      </c>
      <c r="F109" s="857"/>
      <c r="G109" s="857"/>
      <c r="H109" s="781">
        <f t="shared" si="36"/>
        <v>0</v>
      </c>
      <c r="I109" s="857"/>
      <c r="J109" s="857"/>
      <c r="K109" s="781">
        <f t="shared" si="37"/>
        <v>0</v>
      </c>
      <c r="L109" s="857"/>
      <c r="M109" s="857"/>
      <c r="N109" s="781">
        <f t="shared" si="38"/>
        <v>0</v>
      </c>
      <c r="O109" s="857"/>
      <c r="P109" s="781">
        <f t="shared" si="39"/>
        <v>0</v>
      </c>
      <c r="Q109" s="856"/>
      <c r="R109" s="781">
        <f t="shared" si="40"/>
        <v>0</v>
      </c>
      <c r="S109" s="781"/>
      <c r="T109" s="856"/>
      <c r="U109" s="781">
        <f t="shared" si="41"/>
        <v>0</v>
      </c>
      <c r="V109" s="781"/>
      <c r="W109" s="781">
        <f t="shared" si="42"/>
        <v>0</v>
      </c>
      <c r="X109" s="781"/>
    </row>
    <row r="110" spans="1:24">
      <c r="A110" s="856" t="s">
        <v>124</v>
      </c>
      <c r="B110" s="858" t="s">
        <v>125</v>
      </c>
      <c r="C110" s="856" t="s">
        <v>47</v>
      </c>
      <c r="D110" s="781">
        <f t="shared" si="34"/>
        <v>0</v>
      </c>
      <c r="E110" s="781">
        <f t="shared" si="35"/>
        <v>0</v>
      </c>
      <c r="F110" s="857"/>
      <c r="G110" s="857"/>
      <c r="H110" s="781">
        <f t="shared" si="36"/>
        <v>0</v>
      </c>
      <c r="I110" s="857"/>
      <c r="J110" s="857"/>
      <c r="K110" s="781">
        <f t="shared" si="37"/>
        <v>0</v>
      </c>
      <c r="L110" s="857"/>
      <c r="M110" s="857"/>
      <c r="N110" s="781">
        <f t="shared" si="38"/>
        <v>0</v>
      </c>
      <c r="O110" s="857"/>
      <c r="P110" s="781">
        <f t="shared" si="39"/>
        <v>0</v>
      </c>
      <c r="Q110" s="856"/>
      <c r="R110" s="781">
        <f t="shared" si="40"/>
        <v>0</v>
      </c>
      <c r="S110" s="781"/>
      <c r="T110" s="856"/>
      <c r="U110" s="781">
        <f t="shared" si="41"/>
        <v>0</v>
      </c>
      <c r="V110" s="781"/>
      <c r="W110" s="781">
        <f t="shared" si="42"/>
        <v>0</v>
      </c>
      <c r="X110" s="781"/>
    </row>
    <row r="111" spans="1:24">
      <c r="A111" s="856"/>
      <c r="B111" s="858"/>
      <c r="C111" s="856" t="s">
        <v>21</v>
      </c>
      <c r="D111" s="781">
        <f t="shared" si="34"/>
        <v>0</v>
      </c>
      <c r="E111" s="781">
        <f t="shared" si="35"/>
        <v>0</v>
      </c>
      <c r="F111" s="857"/>
      <c r="G111" s="857"/>
      <c r="H111" s="781">
        <f t="shared" si="36"/>
        <v>0</v>
      </c>
      <c r="I111" s="857"/>
      <c r="J111" s="857"/>
      <c r="K111" s="781">
        <f t="shared" si="37"/>
        <v>0</v>
      </c>
      <c r="L111" s="857"/>
      <c r="M111" s="857"/>
      <c r="N111" s="781">
        <f t="shared" si="38"/>
        <v>0</v>
      </c>
      <c r="O111" s="857"/>
      <c r="P111" s="781">
        <f t="shared" si="39"/>
        <v>0</v>
      </c>
      <c r="Q111" s="856"/>
      <c r="R111" s="781">
        <f t="shared" si="40"/>
        <v>0</v>
      </c>
      <c r="S111" s="781"/>
      <c r="T111" s="856"/>
      <c r="U111" s="781">
        <f t="shared" si="41"/>
        <v>0</v>
      </c>
      <c r="V111" s="781"/>
      <c r="W111" s="781">
        <f t="shared" si="42"/>
        <v>0</v>
      </c>
      <c r="X111" s="781"/>
    </row>
    <row r="112" spans="1:24">
      <c r="A112" s="856" t="s">
        <v>126</v>
      </c>
      <c r="B112" s="858" t="s">
        <v>127</v>
      </c>
      <c r="C112" s="856" t="s">
        <v>51</v>
      </c>
      <c r="D112" s="781">
        <f t="shared" si="34"/>
        <v>0</v>
      </c>
      <c r="E112" s="781">
        <f t="shared" si="35"/>
        <v>0</v>
      </c>
      <c r="F112" s="857"/>
      <c r="G112" s="857"/>
      <c r="H112" s="781">
        <f t="shared" si="36"/>
        <v>0</v>
      </c>
      <c r="I112" s="857"/>
      <c r="J112" s="857"/>
      <c r="K112" s="781">
        <f t="shared" si="37"/>
        <v>0</v>
      </c>
      <c r="L112" s="857"/>
      <c r="M112" s="857"/>
      <c r="N112" s="781">
        <f t="shared" si="38"/>
        <v>0</v>
      </c>
      <c r="O112" s="857"/>
      <c r="P112" s="781">
        <f t="shared" si="39"/>
        <v>0</v>
      </c>
      <c r="Q112" s="856"/>
      <c r="R112" s="781">
        <f t="shared" si="40"/>
        <v>0</v>
      </c>
      <c r="S112" s="781"/>
      <c r="T112" s="856"/>
      <c r="U112" s="781">
        <f t="shared" si="41"/>
        <v>0</v>
      </c>
      <c r="V112" s="781"/>
      <c r="W112" s="781">
        <f t="shared" si="42"/>
        <v>0</v>
      </c>
      <c r="X112" s="781"/>
    </row>
    <row r="113" spans="1:24">
      <c r="A113" s="856"/>
      <c r="B113" s="858"/>
      <c r="C113" s="856" t="s">
        <v>128</v>
      </c>
      <c r="D113" s="781">
        <f t="shared" si="34"/>
        <v>0</v>
      </c>
      <c r="E113" s="781">
        <f t="shared" si="35"/>
        <v>0</v>
      </c>
      <c r="F113" s="857"/>
      <c r="G113" s="857"/>
      <c r="H113" s="781">
        <f t="shared" si="36"/>
        <v>0</v>
      </c>
      <c r="I113" s="857"/>
      <c r="J113" s="857"/>
      <c r="K113" s="781">
        <f t="shared" si="37"/>
        <v>0</v>
      </c>
      <c r="L113" s="857"/>
      <c r="M113" s="857"/>
      <c r="N113" s="781">
        <f t="shared" si="38"/>
        <v>0</v>
      </c>
      <c r="O113" s="857"/>
      <c r="P113" s="781">
        <f t="shared" si="39"/>
        <v>0</v>
      </c>
      <c r="Q113" s="856"/>
      <c r="R113" s="781">
        <f t="shared" si="40"/>
        <v>0</v>
      </c>
      <c r="S113" s="781"/>
      <c r="T113" s="856"/>
      <c r="U113" s="781">
        <f t="shared" si="41"/>
        <v>0</v>
      </c>
      <c r="V113" s="781"/>
      <c r="W113" s="781">
        <f t="shared" si="42"/>
        <v>0</v>
      </c>
      <c r="X113" s="781"/>
    </row>
    <row r="114" spans="1:24">
      <c r="A114" s="1150">
        <v>7</v>
      </c>
      <c r="B114" s="858" t="s">
        <v>129</v>
      </c>
      <c r="C114" s="856" t="s">
        <v>130</v>
      </c>
      <c r="D114" s="781">
        <f t="shared" si="34"/>
        <v>0</v>
      </c>
      <c r="E114" s="781">
        <f t="shared" si="35"/>
        <v>0</v>
      </c>
      <c r="F114" s="857"/>
      <c r="G114" s="857"/>
      <c r="H114" s="781">
        <f t="shared" si="36"/>
        <v>0</v>
      </c>
      <c r="I114" s="857"/>
      <c r="J114" s="857"/>
      <c r="K114" s="781">
        <f t="shared" si="37"/>
        <v>0</v>
      </c>
      <c r="L114" s="857"/>
      <c r="M114" s="857"/>
      <c r="N114" s="781">
        <f t="shared" si="38"/>
        <v>0</v>
      </c>
      <c r="O114" s="857"/>
      <c r="P114" s="781">
        <f t="shared" si="39"/>
        <v>0</v>
      </c>
      <c r="Q114" s="856"/>
      <c r="R114" s="781">
        <f t="shared" si="40"/>
        <v>0</v>
      </c>
      <c r="S114" s="781"/>
      <c r="T114" s="856"/>
      <c r="U114" s="781">
        <f t="shared" si="41"/>
        <v>0</v>
      </c>
      <c r="V114" s="781"/>
      <c r="W114" s="781">
        <f t="shared" si="42"/>
        <v>0</v>
      </c>
      <c r="X114" s="781"/>
    </row>
    <row r="115" spans="1:24">
      <c r="A115" s="856"/>
      <c r="B115" s="856"/>
      <c r="C115" s="856" t="s">
        <v>21</v>
      </c>
      <c r="D115" s="781">
        <f t="shared" si="34"/>
        <v>0</v>
      </c>
      <c r="E115" s="781">
        <f t="shared" si="35"/>
        <v>0</v>
      </c>
      <c r="F115" s="857"/>
      <c r="G115" s="857"/>
      <c r="H115" s="781">
        <f t="shared" si="36"/>
        <v>0</v>
      </c>
      <c r="I115" s="857"/>
      <c r="J115" s="857"/>
      <c r="K115" s="781">
        <f t="shared" si="37"/>
        <v>0</v>
      </c>
      <c r="L115" s="857"/>
      <c r="M115" s="857"/>
      <c r="N115" s="781">
        <f t="shared" si="38"/>
        <v>0</v>
      </c>
      <c r="O115" s="857"/>
      <c r="P115" s="781">
        <f t="shared" si="39"/>
        <v>0</v>
      </c>
      <c r="Q115" s="856"/>
      <c r="R115" s="781">
        <f t="shared" si="40"/>
        <v>0</v>
      </c>
      <c r="S115" s="781"/>
      <c r="T115" s="856"/>
      <c r="U115" s="781">
        <f t="shared" si="41"/>
        <v>0</v>
      </c>
      <c r="V115" s="781"/>
      <c r="W115" s="781">
        <f t="shared" si="42"/>
        <v>0</v>
      </c>
      <c r="X115" s="781"/>
    </row>
    <row r="116" spans="1:24">
      <c r="A116" s="1150">
        <v>8</v>
      </c>
      <c r="B116" s="858" t="s">
        <v>131</v>
      </c>
      <c r="C116" s="856" t="s">
        <v>47</v>
      </c>
      <c r="D116" s="781">
        <f t="shared" si="34"/>
        <v>0</v>
      </c>
      <c r="E116" s="781">
        <f t="shared" si="35"/>
        <v>0</v>
      </c>
      <c r="F116" s="857"/>
      <c r="G116" s="857"/>
      <c r="H116" s="781">
        <f t="shared" si="36"/>
        <v>0</v>
      </c>
      <c r="I116" s="857"/>
      <c r="J116" s="857"/>
      <c r="K116" s="781">
        <f t="shared" si="37"/>
        <v>0</v>
      </c>
      <c r="L116" s="857"/>
      <c r="M116" s="857"/>
      <c r="N116" s="781">
        <f t="shared" si="38"/>
        <v>0</v>
      </c>
      <c r="O116" s="857"/>
      <c r="P116" s="781">
        <f t="shared" si="39"/>
        <v>0</v>
      </c>
      <c r="Q116" s="856"/>
      <c r="R116" s="781">
        <f t="shared" si="40"/>
        <v>0</v>
      </c>
      <c r="S116" s="781"/>
      <c r="T116" s="856"/>
      <c r="U116" s="781">
        <f t="shared" si="41"/>
        <v>0</v>
      </c>
      <c r="V116" s="781"/>
      <c r="W116" s="781">
        <f t="shared" si="42"/>
        <v>0</v>
      </c>
      <c r="X116" s="781"/>
    </row>
    <row r="117" spans="1:24">
      <c r="A117" s="858"/>
      <c r="B117" s="858" t="s">
        <v>132</v>
      </c>
      <c r="C117" s="856" t="s">
        <v>21</v>
      </c>
      <c r="D117" s="781">
        <f t="shared" si="34"/>
        <v>0</v>
      </c>
      <c r="E117" s="781">
        <f t="shared" si="35"/>
        <v>0</v>
      </c>
      <c r="F117" s="857"/>
      <c r="G117" s="857"/>
      <c r="H117" s="781">
        <f t="shared" si="36"/>
        <v>0</v>
      </c>
      <c r="I117" s="857"/>
      <c r="J117" s="857"/>
      <c r="K117" s="781">
        <f t="shared" si="37"/>
        <v>0</v>
      </c>
      <c r="L117" s="857"/>
      <c r="M117" s="857"/>
      <c r="N117" s="781">
        <f t="shared" si="38"/>
        <v>0</v>
      </c>
      <c r="O117" s="857"/>
      <c r="P117" s="781">
        <f t="shared" si="39"/>
        <v>0</v>
      </c>
      <c r="Q117" s="856"/>
      <c r="R117" s="781">
        <f t="shared" si="40"/>
        <v>0</v>
      </c>
      <c r="S117" s="781"/>
      <c r="T117" s="856"/>
      <c r="U117" s="781">
        <f t="shared" si="41"/>
        <v>0</v>
      </c>
      <c r="V117" s="781"/>
      <c r="W117" s="781">
        <f t="shared" si="42"/>
        <v>0</v>
      </c>
      <c r="X117" s="781"/>
    </row>
    <row r="118" spans="1:24">
      <c r="A118" s="1150">
        <v>9</v>
      </c>
      <c r="B118" s="858" t="s">
        <v>133</v>
      </c>
      <c r="C118" s="856" t="s">
        <v>134</v>
      </c>
      <c r="D118" s="781">
        <f t="shared" si="34"/>
        <v>0</v>
      </c>
      <c r="E118" s="781">
        <f t="shared" si="35"/>
        <v>0</v>
      </c>
      <c r="F118" s="857"/>
      <c r="G118" s="857"/>
      <c r="H118" s="781">
        <f t="shared" si="36"/>
        <v>0</v>
      </c>
      <c r="I118" s="857"/>
      <c r="J118" s="857"/>
      <c r="K118" s="781">
        <f t="shared" si="37"/>
        <v>0</v>
      </c>
      <c r="L118" s="857"/>
      <c r="M118" s="857"/>
      <c r="N118" s="781">
        <f t="shared" si="38"/>
        <v>0</v>
      </c>
      <c r="O118" s="857"/>
      <c r="P118" s="781">
        <f t="shared" si="39"/>
        <v>0</v>
      </c>
      <c r="Q118" s="856"/>
      <c r="R118" s="781">
        <f t="shared" si="40"/>
        <v>0</v>
      </c>
      <c r="S118" s="781"/>
      <c r="T118" s="856"/>
      <c r="U118" s="781">
        <f t="shared" si="41"/>
        <v>0</v>
      </c>
      <c r="V118" s="781"/>
      <c r="W118" s="781">
        <f t="shared" si="42"/>
        <v>0</v>
      </c>
      <c r="X118" s="781"/>
    </row>
    <row r="119" spans="1:24">
      <c r="A119" s="856"/>
      <c r="B119" s="858" t="s">
        <v>135</v>
      </c>
      <c r="C119" s="856" t="s">
        <v>21</v>
      </c>
      <c r="D119" s="781">
        <f t="shared" si="34"/>
        <v>0</v>
      </c>
      <c r="E119" s="781">
        <f t="shared" si="35"/>
        <v>0</v>
      </c>
      <c r="F119" s="857"/>
      <c r="G119" s="857"/>
      <c r="H119" s="781">
        <f t="shared" si="36"/>
        <v>0</v>
      </c>
      <c r="I119" s="857"/>
      <c r="J119" s="857"/>
      <c r="K119" s="781">
        <f t="shared" si="37"/>
        <v>0</v>
      </c>
      <c r="L119" s="857"/>
      <c r="M119" s="857"/>
      <c r="N119" s="781">
        <f t="shared" si="38"/>
        <v>0</v>
      </c>
      <c r="O119" s="857"/>
      <c r="P119" s="781">
        <f t="shared" si="39"/>
        <v>0</v>
      </c>
      <c r="Q119" s="856"/>
      <c r="R119" s="781">
        <f t="shared" si="40"/>
        <v>0</v>
      </c>
      <c r="S119" s="781"/>
      <c r="T119" s="856"/>
      <c r="U119" s="781">
        <f t="shared" si="41"/>
        <v>0</v>
      </c>
      <c r="V119" s="781"/>
      <c r="W119" s="781">
        <f t="shared" si="42"/>
        <v>0</v>
      </c>
      <c r="X119" s="781"/>
    </row>
    <row r="120" spans="1:24">
      <c r="A120" s="856" t="s">
        <v>136</v>
      </c>
      <c r="B120" s="858" t="s">
        <v>137</v>
      </c>
      <c r="C120" s="856" t="s">
        <v>21</v>
      </c>
      <c r="D120" s="781">
        <f t="shared" si="34"/>
        <v>0</v>
      </c>
      <c r="E120" s="781">
        <f t="shared" si="35"/>
        <v>0</v>
      </c>
      <c r="F120" s="857"/>
      <c r="G120" s="857"/>
      <c r="H120" s="781">
        <f t="shared" si="36"/>
        <v>0</v>
      </c>
      <c r="I120" s="857">
        <v>0</v>
      </c>
      <c r="J120" s="857"/>
      <c r="K120" s="781">
        <f t="shared" si="37"/>
        <v>0</v>
      </c>
      <c r="L120" s="857"/>
      <c r="M120" s="857"/>
      <c r="N120" s="781">
        <f t="shared" si="38"/>
        <v>0</v>
      </c>
      <c r="O120" s="857"/>
      <c r="P120" s="781">
        <f t="shared" si="39"/>
        <v>0</v>
      </c>
      <c r="Q120" s="857"/>
      <c r="R120" s="781">
        <f t="shared" si="40"/>
        <v>0</v>
      </c>
      <c r="S120" s="781"/>
      <c r="T120" s="857"/>
      <c r="U120" s="781">
        <f t="shared" si="41"/>
        <v>0</v>
      </c>
      <c r="V120" s="781"/>
      <c r="W120" s="781">
        <f t="shared" si="42"/>
        <v>0</v>
      </c>
      <c r="X120" s="781"/>
    </row>
    <row r="121" spans="1:24">
      <c r="A121" s="856" t="s">
        <v>138</v>
      </c>
      <c r="B121" s="856" t="s">
        <v>139</v>
      </c>
      <c r="C121" s="856" t="s">
        <v>21</v>
      </c>
      <c r="D121" s="781">
        <f t="shared" si="34"/>
        <v>0</v>
      </c>
      <c r="E121" s="781">
        <f t="shared" si="35"/>
        <v>0</v>
      </c>
      <c r="F121" s="857"/>
      <c r="G121" s="857"/>
      <c r="H121" s="781">
        <f t="shared" si="36"/>
        <v>0</v>
      </c>
      <c r="I121" s="857"/>
      <c r="J121" s="857"/>
      <c r="K121" s="781">
        <f t="shared" si="37"/>
        <v>0</v>
      </c>
      <c r="L121" s="857"/>
      <c r="M121" s="857"/>
      <c r="N121" s="781">
        <f t="shared" si="38"/>
        <v>0</v>
      </c>
      <c r="O121" s="857"/>
      <c r="P121" s="781">
        <f t="shared" si="39"/>
        <v>0</v>
      </c>
      <c r="Q121" s="857"/>
      <c r="R121" s="781">
        <f t="shared" si="40"/>
        <v>0</v>
      </c>
      <c r="S121" s="781"/>
      <c r="T121" s="857"/>
      <c r="U121" s="781">
        <f t="shared" si="41"/>
        <v>0</v>
      </c>
      <c r="V121" s="781"/>
      <c r="W121" s="781">
        <f t="shared" si="42"/>
        <v>0</v>
      </c>
      <c r="X121" s="781"/>
    </row>
    <row r="122" spans="1:24">
      <c r="A122" s="856" t="s">
        <v>140</v>
      </c>
      <c r="B122" s="858" t="s">
        <v>141</v>
      </c>
      <c r="C122" s="856" t="s">
        <v>21</v>
      </c>
      <c r="D122" s="781">
        <f t="shared" si="34"/>
        <v>0</v>
      </c>
      <c r="E122" s="781">
        <f t="shared" si="35"/>
        <v>0</v>
      </c>
      <c r="F122" s="857"/>
      <c r="G122" s="857"/>
      <c r="H122" s="781">
        <f t="shared" si="36"/>
        <v>0</v>
      </c>
      <c r="I122" s="857"/>
      <c r="J122" s="857"/>
      <c r="K122" s="781">
        <f t="shared" si="37"/>
        <v>0</v>
      </c>
      <c r="L122" s="857"/>
      <c r="M122" s="857"/>
      <c r="N122" s="781">
        <f t="shared" si="38"/>
        <v>0</v>
      </c>
      <c r="O122" s="857"/>
      <c r="P122" s="781">
        <f t="shared" si="39"/>
        <v>0</v>
      </c>
      <c r="Q122" s="857"/>
      <c r="R122" s="781">
        <f t="shared" si="40"/>
        <v>0</v>
      </c>
      <c r="S122" s="781"/>
      <c r="T122" s="857"/>
      <c r="U122" s="781">
        <f t="shared" si="41"/>
        <v>0</v>
      </c>
      <c r="V122" s="781"/>
      <c r="W122" s="781">
        <f t="shared" si="42"/>
        <v>0</v>
      </c>
      <c r="X122" s="781"/>
    </row>
    <row r="123" spans="1:24">
      <c r="A123" s="856" t="s">
        <v>142</v>
      </c>
      <c r="B123" s="858" t="s">
        <v>143</v>
      </c>
      <c r="C123" s="856" t="s">
        <v>21</v>
      </c>
      <c r="D123" s="781">
        <f t="shared" si="34"/>
        <v>0</v>
      </c>
      <c r="E123" s="781">
        <f t="shared" si="35"/>
        <v>0</v>
      </c>
      <c r="F123" s="857"/>
      <c r="G123" s="857"/>
      <c r="H123" s="781">
        <f t="shared" si="36"/>
        <v>0</v>
      </c>
      <c r="I123" s="857"/>
      <c r="J123" s="857"/>
      <c r="K123" s="781">
        <f t="shared" si="37"/>
        <v>0</v>
      </c>
      <c r="L123" s="857"/>
      <c r="M123" s="857"/>
      <c r="N123" s="781">
        <f t="shared" si="38"/>
        <v>0</v>
      </c>
      <c r="O123" s="857"/>
      <c r="P123" s="781">
        <f t="shared" si="39"/>
        <v>0</v>
      </c>
      <c r="Q123" s="857"/>
      <c r="R123" s="781">
        <f t="shared" si="40"/>
        <v>0</v>
      </c>
      <c r="S123" s="781"/>
      <c r="T123" s="857"/>
      <c r="U123" s="781">
        <f t="shared" si="41"/>
        <v>0</v>
      </c>
      <c r="V123" s="781"/>
      <c r="W123" s="781">
        <f t="shared" si="42"/>
        <v>0</v>
      </c>
      <c r="X123" s="781"/>
    </row>
    <row r="124" spans="1:24">
      <c r="A124" s="1150">
        <v>13</v>
      </c>
      <c r="B124" s="858" t="s">
        <v>144</v>
      </c>
      <c r="C124" s="856" t="s">
        <v>21</v>
      </c>
      <c r="D124" s="781">
        <f t="shared" si="34"/>
        <v>0</v>
      </c>
      <c r="E124" s="781">
        <f t="shared" si="35"/>
        <v>0</v>
      </c>
      <c r="F124" s="857"/>
      <c r="G124" s="857"/>
      <c r="H124" s="781">
        <f t="shared" si="36"/>
        <v>0</v>
      </c>
      <c r="I124" s="857"/>
      <c r="J124" s="857"/>
      <c r="K124" s="781">
        <f t="shared" si="37"/>
        <v>0</v>
      </c>
      <c r="L124" s="857"/>
      <c r="M124" s="857"/>
      <c r="N124" s="781">
        <f t="shared" si="38"/>
        <v>0</v>
      </c>
      <c r="O124" s="857"/>
      <c r="P124" s="781">
        <f t="shared" si="39"/>
        <v>0</v>
      </c>
      <c r="Q124" s="857"/>
      <c r="R124" s="781">
        <f t="shared" si="40"/>
        <v>0</v>
      </c>
      <c r="S124" s="781"/>
      <c r="T124" s="857"/>
      <c r="U124" s="781">
        <f t="shared" si="41"/>
        <v>0</v>
      </c>
      <c r="V124" s="781"/>
      <c r="W124" s="781">
        <f t="shared" si="42"/>
        <v>0</v>
      </c>
      <c r="X124" s="781"/>
    </row>
    <row r="125" spans="1:24">
      <c r="A125" s="1150">
        <v>14</v>
      </c>
      <c r="B125" s="1178" t="s">
        <v>145</v>
      </c>
      <c r="C125" s="856" t="s">
        <v>21</v>
      </c>
      <c r="D125" s="781">
        <f t="shared" si="34"/>
        <v>0</v>
      </c>
      <c r="E125" s="781">
        <f t="shared" si="35"/>
        <v>0</v>
      </c>
      <c r="F125" s="857"/>
      <c r="G125" s="857"/>
      <c r="H125" s="781">
        <f t="shared" si="36"/>
        <v>0</v>
      </c>
      <c r="I125" s="857">
        <v>0</v>
      </c>
      <c r="J125" s="857"/>
      <c r="K125" s="781">
        <f t="shared" si="37"/>
        <v>0</v>
      </c>
      <c r="L125" s="857"/>
      <c r="M125" s="857"/>
      <c r="N125" s="781">
        <f t="shared" si="38"/>
        <v>0</v>
      </c>
      <c r="O125" s="857"/>
      <c r="P125" s="781">
        <f t="shared" si="39"/>
        <v>0</v>
      </c>
      <c r="Q125" s="857"/>
      <c r="R125" s="781">
        <f t="shared" si="40"/>
        <v>0</v>
      </c>
      <c r="S125" s="781"/>
      <c r="T125" s="857"/>
      <c r="U125" s="781">
        <f t="shared" si="41"/>
        <v>0</v>
      </c>
      <c r="V125" s="781"/>
      <c r="W125" s="781">
        <f t="shared" si="42"/>
        <v>0</v>
      </c>
      <c r="X125" s="781"/>
    </row>
    <row r="126" spans="1:24">
      <c r="A126" s="856" t="s">
        <v>146</v>
      </c>
      <c r="B126" s="858" t="s">
        <v>147</v>
      </c>
      <c r="C126" s="856" t="s">
        <v>21</v>
      </c>
      <c r="D126" s="781">
        <f t="shared" si="34"/>
        <v>0</v>
      </c>
      <c r="E126" s="781">
        <f t="shared" si="35"/>
        <v>0</v>
      </c>
      <c r="F126" s="857"/>
      <c r="G126" s="857"/>
      <c r="H126" s="781">
        <f t="shared" si="36"/>
        <v>0</v>
      </c>
      <c r="I126" s="857">
        <v>0</v>
      </c>
      <c r="J126" s="857"/>
      <c r="K126" s="781">
        <f t="shared" si="37"/>
        <v>0</v>
      </c>
      <c r="L126" s="857"/>
      <c r="M126" s="857"/>
      <c r="N126" s="781">
        <f t="shared" si="38"/>
        <v>0</v>
      </c>
      <c r="O126" s="857"/>
      <c r="P126" s="781">
        <f t="shared" si="39"/>
        <v>0</v>
      </c>
      <c r="Q126" s="857"/>
      <c r="R126" s="781">
        <f t="shared" si="40"/>
        <v>0</v>
      </c>
      <c r="S126" s="781"/>
      <c r="T126" s="857"/>
      <c r="U126" s="781">
        <f t="shared" si="41"/>
        <v>0</v>
      </c>
      <c r="V126" s="781"/>
      <c r="W126" s="781">
        <f t="shared" si="42"/>
        <v>0</v>
      </c>
      <c r="X126" s="781"/>
    </row>
    <row r="127" spans="1:24">
      <c r="A127" s="1150">
        <v>16</v>
      </c>
      <c r="B127" s="858" t="s">
        <v>148</v>
      </c>
      <c r="C127" s="856" t="s">
        <v>21</v>
      </c>
      <c r="D127" s="781">
        <f t="shared" si="34"/>
        <v>0</v>
      </c>
      <c r="E127" s="781">
        <f t="shared" si="35"/>
        <v>0</v>
      </c>
      <c r="F127" s="857"/>
      <c r="G127" s="857"/>
      <c r="H127" s="781">
        <f t="shared" si="36"/>
        <v>0</v>
      </c>
      <c r="I127" s="857">
        <v>0</v>
      </c>
      <c r="J127" s="857"/>
      <c r="K127" s="781">
        <f t="shared" si="37"/>
        <v>0</v>
      </c>
      <c r="L127" s="857"/>
      <c r="M127" s="857"/>
      <c r="N127" s="781">
        <f t="shared" si="38"/>
        <v>0</v>
      </c>
      <c r="O127" s="781"/>
      <c r="P127" s="781">
        <f t="shared" si="39"/>
        <v>0</v>
      </c>
      <c r="Q127" s="781"/>
      <c r="R127" s="781">
        <f t="shared" si="40"/>
        <v>0</v>
      </c>
      <c r="S127" s="781"/>
      <c r="T127" s="781"/>
      <c r="U127" s="781">
        <f t="shared" si="41"/>
        <v>0</v>
      </c>
      <c r="V127" s="781"/>
      <c r="W127" s="781">
        <f t="shared" si="42"/>
        <v>0</v>
      </c>
      <c r="X127" s="781"/>
    </row>
    <row r="128" spans="1:24">
      <c r="A128" s="856" t="s">
        <v>149</v>
      </c>
      <c r="B128" s="856" t="s">
        <v>150</v>
      </c>
      <c r="C128" s="856" t="s">
        <v>128</v>
      </c>
      <c r="D128" s="781">
        <f>D130+D132+D134+D136</f>
        <v>0</v>
      </c>
      <c r="E128" s="781">
        <f>E130+E132+E134+E136</f>
        <v>0</v>
      </c>
      <c r="F128" s="781">
        <f>F130+F132+F134+F136</f>
        <v>0</v>
      </c>
      <c r="G128" s="781">
        <f>G130+G132+G134+G136</f>
        <v>0</v>
      </c>
      <c r="H128" s="781">
        <f t="shared" si="36"/>
        <v>0</v>
      </c>
      <c r="I128" s="781">
        <f>I130+I132+I134+I136</f>
        <v>0</v>
      </c>
      <c r="J128" s="781">
        <f>J130+J132+J134+J136</f>
        <v>0</v>
      </c>
      <c r="K128" s="781">
        <f t="shared" si="37"/>
        <v>0</v>
      </c>
      <c r="L128" s="781">
        <f>L130+L132+L134+L136</f>
        <v>0</v>
      </c>
      <c r="M128" s="781">
        <f>M130+M132+M134+M136</f>
        <v>0</v>
      </c>
      <c r="N128" s="781">
        <f t="shared" si="38"/>
        <v>0</v>
      </c>
      <c r="O128" s="781">
        <f>O130+O132+O134+O136</f>
        <v>0</v>
      </c>
      <c r="P128" s="781">
        <f t="shared" si="39"/>
        <v>0</v>
      </c>
      <c r="Q128" s="781">
        <f>Q130+Q132+Q134+Q136</f>
        <v>0</v>
      </c>
      <c r="R128" s="781">
        <f t="shared" si="40"/>
        <v>0</v>
      </c>
      <c r="S128" s="781">
        <f>S130+S132+S134+S136</f>
        <v>0</v>
      </c>
      <c r="T128" s="781">
        <f>T130+T132+T134+T136</f>
        <v>0</v>
      </c>
      <c r="U128" s="781">
        <f t="shared" si="41"/>
        <v>0</v>
      </c>
      <c r="V128" s="781">
        <f>V130+V132+V134+V136</f>
        <v>0</v>
      </c>
      <c r="W128" s="781">
        <f t="shared" si="42"/>
        <v>0</v>
      </c>
      <c r="X128" s="781">
        <f>X130+X132+X134+X136</f>
        <v>0</v>
      </c>
    </row>
    <row r="129" spans="1:24">
      <c r="A129" s="856" t="s">
        <v>151</v>
      </c>
      <c r="B129" s="856" t="s">
        <v>152</v>
      </c>
      <c r="C129" s="856" t="s">
        <v>47</v>
      </c>
      <c r="D129" s="781">
        <f t="shared" ref="D129:D138" si="43">E129+H129+K129+N129+P129+R129+U129+W129</f>
        <v>0</v>
      </c>
      <c r="E129" s="781">
        <f t="shared" ref="E129:E138" si="44">F129+G129</f>
        <v>0</v>
      </c>
      <c r="F129" s="857"/>
      <c r="G129" s="857"/>
      <c r="H129" s="781">
        <f t="shared" si="36"/>
        <v>0</v>
      </c>
      <c r="I129" s="857"/>
      <c r="J129" s="857"/>
      <c r="K129" s="781">
        <f t="shared" si="37"/>
        <v>0</v>
      </c>
      <c r="L129" s="857"/>
      <c r="M129" s="857"/>
      <c r="N129" s="781">
        <f t="shared" si="38"/>
        <v>0</v>
      </c>
      <c r="O129" s="857"/>
      <c r="P129" s="781">
        <f t="shared" si="39"/>
        <v>0</v>
      </c>
      <c r="Q129" s="857"/>
      <c r="R129" s="781">
        <f t="shared" si="40"/>
        <v>0</v>
      </c>
      <c r="S129" s="781"/>
      <c r="T129" s="857"/>
      <c r="U129" s="781">
        <f t="shared" si="41"/>
        <v>0</v>
      </c>
      <c r="V129" s="781"/>
      <c r="W129" s="781">
        <f t="shared" si="42"/>
        <v>0</v>
      </c>
      <c r="X129" s="781"/>
    </row>
    <row r="130" spans="1:24">
      <c r="A130" s="856"/>
      <c r="B130" s="856"/>
      <c r="C130" s="856" t="s">
        <v>21</v>
      </c>
      <c r="D130" s="781">
        <f t="shared" si="43"/>
        <v>0</v>
      </c>
      <c r="E130" s="781">
        <f t="shared" si="44"/>
        <v>0</v>
      </c>
      <c r="F130" s="857"/>
      <c r="G130" s="857"/>
      <c r="H130" s="781">
        <f t="shared" si="36"/>
        <v>0</v>
      </c>
      <c r="I130" s="857"/>
      <c r="J130" s="857"/>
      <c r="K130" s="781">
        <f t="shared" si="37"/>
        <v>0</v>
      </c>
      <c r="L130" s="857"/>
      <c r="M130" s="857"/>
      <c r="N130" s="781">
        <f t="shared" si="38"/>
        <v>0</v>
      </c>
      <c r="O130" s="857"/>
      <c r="P130" s="781">
        <f t="shared" si="39"/>
        <v>0</v>
      </c>
      <c r="Q130" s="857"/>
      <c r="R130" s="781">
        <f t="shared" si="40"/>
        <v>0</v>
      </c>
      <c r="S130" s="781"/>
      <c r="T130" s="857"/>
      <c r="U130" s="781">
        <f t="shared" si="41"/>
        <v>0</v>
      </c>
      <c r="V130" s="781"/>
      <c r="W130" s="781">
        <f t="shared" si="42"/>
        <v>0</v>
      </c>
      <c r="X130" s="781"/>
    </row>
    <row r="131" spans="1:24">
      <c r="A131" s="856" t="s">
        <v>153</v>
      </c>
      <c r="B131" s="856" t="s">
        <v>154</v>
      </c>
      <c r="C131" s="856" t="s">
        <v>47</v>
      </c>
      <c r="D131" s="781">
        <f t="shared" si="43"/>
        <v>0</v>
      </c>
      <c r="E131" s="781">
        <f t="shared" si="44"/>
        <v>0</v>
      </c>
      <c r="F131" s="857"/>
      <c r="G131" s="857"/>
      <c r="H131" s="781">
        <f t="shared" si="36"/>
        <v>0</v>
      </c>
      <c r="I131" s="857"/>
      <c r="J131" s="857"/>
      <c r="K131" s="781">
        <f t="shared" si="37"/>
        <v>0</v>
      </c>
      <c r="L131" s="857"/>
      <c r="M131" s="857"/>
      <c r="N131" s="781">
        <f t="shared" si="38"/>
        <v>0</v>
      </c>
      <c r="O131" s="857"/>
      <c r="P131" s="781">
        <f t="shared" si="39"/>
        <v>0</v>
      </c>
      <c r="Q131" s="857"/>
      <c r="R131" s="781">
        <f t="shared" si="40"/>
        <v>0</v>
      </c>
      <c r="S131" s="781"/>
      <c r="T131" s="857"/>
      <c r="U131" s="781">
        <f t="shared" si="41"/>
        <v>0</v>
      </c>
      <c r="V131" s="781"/>
      <c r="W131" s="781">
        <f t="shared" si="42"/>
        <v>0</v>
      </c>
      <c r="X131" s="781"/>
    </row>
    <row r="132" spans="1:24">
      <c r="A132" s="856"/>
      <c r="B132" s="856"/>
      <c r="C132" s="856" t="s">
        <v>155</v>
      </c>
      <c r="D132" s="781">
        <f t="shared" si="43"/>
        <v>0</v>
      </c>
      <c r="E132" s="781">
        <f t="shared" si="44"/>
        <v>0</v>
      </c>
      <c r="F132" s="857"/>
      <c r="G132" s="857"/>
      <c r="H132" s="781">
        <f t="shared" si="36"/>
        <v>0</v>
      </c>
      <c r="I132" s="857"/>
      <c r="J132" s="857"/>
      <c r="K132" s="781">
        <f t="shared" si="37"/>
        <v>0</v>
      </c>
      <c r="L132" s="857"/>
      <c r="M132" s="857"/>
      <c r="N132" s="781">
        <f t="shared" si="38"/>
        <v>0</v>
      </c>
      <c r="O132" s="857"/>
      <c r="P132" s="781">
        <f t="shared" si="39"/>
        <v>0</v>
      </c>
      <c r="Q132" s="857"/>
      <c r="R132" s="781">
        <f t="shared" si="40"/>
        <v>0</v>
      </c>
      <c r="S132" s="781"/>
      <c r="T132" s="857"/>
      <c r="U132" s="781">
        <f t="shared" si="41"/>
        <v>0</v>
      </c>
      <c r="V132" s="781"/>
      <c r="W132" s="781">
        <f t="shared" si="42"/>
        <v>0</v>
      </c>
      <c r="X132" s="781"/>
    </row>
    <row r="133" spans="1:24">
      <c r="A133" s="856" t="s">
        <v>156</v>
      </c>
      <c r="B133" s="856" t="s">
        <v>157</v>
      </c>
      <c r="C133" s="856" t="s">
        <v>47</v>
      </c>
      <c r="D133" s="781">
        <f t="shared" si="43"/>
        <v>0</v>
      </c>
      <c r="E133" s="781">
        <f t="shared" si="44"/>
        <v>0</v>
      </c>
      <c r="F133" s="857"/>
      <c r="G133" s="857"/>
      <c r="H133" s="781">
        <f t="shared" si="36"/>
        <v>0</v>
      </c>
      <c r="I133" s="857"/>
      <c r="J133" s="857"/>
      <c r="K133" s="781">
        <f t="shared" si="37"/>
        <v>0</v>
      </c>
      <c r="L133" s="857"/>
      <c r="M133" s="857"/>
      <c r="N133" s="781">
        <f t="shared" si="38"/>
        <v>0</v>
      </c>
      <c r="O133" s="857"/>
      <c r="P133" s="781">
        <f t="shared" si="39"/>
        <v>0</v>
      </c>
      <c r="Q133" s="857"/>
      <c r="R133" s="781">
        <f t="shared" si="40"/>
        <v>0</v>
      </c>
      <c r="S133" s="781"/>
      <c r="T133" s="857"/>
      <c r="U133" s="781">
        <f t="shared" si="41"/>
        <v>0</v>
      </c>
      <c r="V133" s="781"/>
      <c r="W133" s="781">
        <f t="shared" si="42"/>
        <v>0</v>
      </c>
      <c r="X133" s="781"/>
    </row>
    <row r="134" spans="1:24">
      <c r="A134" s="856"/>
      <c r="B134" s="856" t="s">
        <v>158</v>
      </c>
      <c r="C134" s="856" t="s">
        <v>21</v>
      </c>
      <c r="D134" s="781">
        <f t="shared" si="43"/>
        <v>0</v>
      </c>
      <c r="E134" s="781">
        <f t="shared" si="44"/>
        <v>0</v>
      </c>
      <c r="F134" s="857"/>
      <c r="G134" s="857"/>
      <c r="H134" s="781">
        <f t="shared" si="36"/>
        <v>0</v>
      </c>
      <c r="I134" s="857"/>
      <c r="J134" s="857"/>
      <c r="K134" s="781">
        <f t="shared" si="37"/>
        <v>0</v>
      </c>
      <c r="L134" s="857"/>
      <c r="M134" s="857"/>
      <c r="N134" s="781">
        <f t="shared" si="38"/>
        <v>0</v>
      </c>
      <c r="O134" s="857"/>
      <c r="P134" s="781">
        <f t="shared" si="39"/>
        <v>0</v>
      </c>
      <c r="Q134" s="857"/>
      <c r="R134" s="781">
        <f t="shared" si="40"/>
        <v>0</v>
      </c>
      <c r="S134" s="781"/>
      <c r="T134" s="857"/>
      <c r="U134" s="781">
        <f t="shared" si="41"/>
        <v>0</v>
      </c>
      <c r="V134" s="781"/>
      <c r="W134" s="781">
        <f t="shared" si="42"/>
        <v>0</v>
      </c>
      <c r="X134" s="781"/>
    </row>
    <row r="135" spans="1:24">
      <c r="A135" s="856" t="s">
        <v>159</v>
      </c>
      <c r="B135" s="856" t="s">
        <v>160</v>
      </c>
      <c r="C135" s="856" t="s">
        <v>47</v>
      </c>
      <c r="D135" s="781">
        <f t="shared" si="43"/>
        <v>0</v>
      </c>
      <c r="E135" s="781">
        <f t="shared" si="44"/>
        <v>0</v>
      </c>
      <c r="F135" s="857"/>
      <c r="G135" s="857"/>
      <c r="H135" s="781">
        <f t="shared" si="36"/>
        <v>0</v>
      </c>
      <c r="I135" s="857"/>
      <c r="J135" s="857"/>
      <c r="K135" s="781">
        <f t="shared" si="37"/>
        <v>0</v>
      </c>
      <c r="L135" s="857"/>
      <c r="M135" s="857"/>
      <c r="N135" s="781">
        <f t="shared" si="38"/>
        <v>0</v>
      </c>
      <c r="O135" s="857"/>
      <c r="P135" s="781">
        <f t="shared" si="39"/>
        <v>0</v>
      </c>
      <c r="Q135" s="857"/>
      <c r="R135" s="781">
        <f t="shared" si="40"/>
        <v>0</v>
      </c>
      <c r="S135" s="781"/>
      <c r="T135" s="857"/>
      <c r="U135" s="781">
        <f t="shared" si="41"/>
        <v>0</v>
      </c>
      <c r="V135" s="781"/>
      <c r="W135" s="781">
        <f t="shared" si="42"/>
        <v>0</v>
      </c>
      <c r="X135" s="781"/>
    </row>
    <row r="136" spans="1:24">
      <c r="A136" s="856"/>
      <c r="B136" s="856"/>
      <c r="C136" s="856" t="s">
        <v>21</v>
      </c>
      <c r="D136" s="781">
        <f t="shared" si="43"/>
        <v>0</v>
      </c>
      <c r="E136" s="781">
        <f t="shared" si="44"/>
        <v>0</v>
      </c>
      <c r="F136" s="857"/>
      <c r="G136" s="857"/>
      <c r="H136" s="781">
        <f t="shared" si="36"/>
        <v>0</v>
      </c>
      <c r="I136" s="857"/>
      <c r="J136" s="857"/>
      <c r="K136" s="781">
        <f t="shared" si="37"/>
        <v>0</v>
      </c>
      <c r="L136" s="857"/>
      <c r="M136" s="857"/>
      <c r="N136" s="781">
        <f t="shared" si="38"/>
        <v>0</v>
      </c>
      <c r="O136" s="857"/>
      <c r="P136" s="781">
        <f t="shared" si="39"/>
        <v>0</v>
      </c>
      <c r="Q136" s="857"/>
      <c r="R136" s="781">
        <f t="shared" si="40"/>
        <v>0</v>
      </c>
      <c r="S136" s="781"/>
      <c r="T136" s="857"/>
      <c r="U136" s="781">
        <f t="shared" si="41"/>
        <v>0</v>
      </c>
      <c r="V136" s="781"/>
      <c r="W136" s="781">
        <f t="shared" si="42"/>
        <v>0</v>
      </c>
      <c r="X136" s="781"/>
    </row>
    <row r="137" spans="1:24">
      <c r="A137" s="856" t="s">
        <v>161</v>
      </c>
      <c r="B137" s="856" t="s">
        <v>162</v>
      </c>
      <c r="C137" s="856" t="s">
        <v>21</v>
      </c>
      <c r="D137" s="781">
        <f t="shared" si="43"/>
        <v>0</v>
      </c>
      <c r="E137" s="781">
        <f t="shared" si="44"/>
        <v>0</v>
      </c>
      <c r="F137" s="857"/>
      <c r="G137" s="857"/>
      <c r="H137" s="781">
        <f t="shared" si="36"/>
        <v>0</v>
      </c>
      <c r="I137" s="857"/>
      <c r="J137" s="857"/>
      <c r="K137" s="781">
        <f t="shared" si="37"/>
        <v>0</v>
      </c>
      <c r="L137" s="857"/>
      <c r="M137" s="857"/>
      <c r="N137" s="781">
        <f t="shared" si="38"/>
        <v>0</v>
      </c>
      <c r="O137" s="856"/>
      <c r="P137" s="781">
        <f t="shared" si="39"/>
        <v>0</v>
      </c>
      <c r="Q137" s="856"/>
      <c r="R137" s="781">
        <f t="shared" si="40"/>
        <v>0</v>
      </c>
      <c r="S137" s="858"/>
      <c r="T137" s="856"/>
      <c r="U137" s="781">
        <f t="shared" si="41"/>
        <v>0</v>
      </c>
      <c r="V137" s="858"/>
      <c r="W137" s="781">
        <f t="shared" si="42"/>
        <v>0</v>
      </c>
      <c r="X137" s="858"/>
    </row>
    <row r="138" spans="1:24">
      <c r="A138" s="856" t="s">
        <v>163</v>
      </c>
      <c r="B138" s="856" t="s">
        <v>164</v>
      </c>
      <c r="C138" s="856" t="s">
        <v>21</v>
      </c>
      <c r="D138" s="781">
        <f t="shared" si="43"/>
        <v>0</v>
      </c>
      <c r="E138" s="781">
        <f t="shared" si="44"/>
        <v>0</v>
      </c>
      <c r="F138" s="857"/>
      <c r="G138" s="857"/>
      <c r="H138" s="781">
        <f t="shared" si="36"/>
        <v>0</v>
      </c>
      <c r="I138" s="857"/>
      <c r="J138" s="857"/>
      <c r="K138" s="781">
        <f t="shared" si="37"/>
        <v>0</v>
      </c>
      <c r="L138" s="857"/>
      <c r="M138" s="857"/>
      <c r="N138" s="781">
        <f t="shared" si="38"/>
        <v>0</v>
      </c>
      <c r="O138" s="856"/>
      <c r="P138" s="781">
        <f t="shared" si="39"/>
        <v>0</v>
      </c>
      <c r="Q138" s="856"/>
      <c r="R138" s="781">
        <f t="shared" si="40"/>
        <v>0</v>
      </c>
      <c r="S138" s="858"/>
      <c r="T138" s="856"/>
      <c r="U138" s="781">
        <f t="shared" si="41"/>
        <v>0</v>
      </c>
      <c r="V138" s="858"/>
      <c r="W138" s="781">
        <f t="shared" si="42"/>
        <v>0</v>
      </c>
      <c r="X138" s="858"/>
    </row>
    <row r="139" spans="1:24">
      <c r="A139" s="856" t="s">
        <v>165</v>
      </c>
      <c r="B139" s="858" t="s">
        <v>166</v>
      </c>
      <c r="C139" s="856" t="s">
        <v>47</v>
      </c>
      <c r="D139" s="781">
        <f>H139+K139</f>
        <v>13322</v>
      </c>
      <c r="E139" s="781">
        <f t="shared" ref="E139:G140" si="45">E141+E143+E145+E147+E149+E151+E153+E155</f>
        <v>0</v>
      </c>
      <c r="F139" s="781">
        <f t="shared" si="45"/>
        <v>0</v>
      </c>
      <c r="G139" s="781">
        <f t="shared" si="45"/>
        <v>0</v>
      </c>
      <c r="H139" s="781">
        <f>I139</f>
        <v>12023</v>
      </c>
      <c r="I139" s="781">
        <f>I143+I145+I147+I149+I153</f>
        <v>12023</v>
      </c>
      <c r="J139" s="781">
        <f t="shared" ref="J139:X140" si="46">J141+J143+J145+J147+J149+J151+J153+J155</f>
        <v>0</v>
      </c>
      <c r="K139" s="781">
        <f t="shared" si="46"/>
        <v>1299</v>
      </c>
      <c r="L139" s="781">
        <f t="shared" si="46"/>
        <v>1299</v>
      </c>
      <c r="M139" s="781">
        <f t="shared" si="46"/>
        <v>0</v>
      </c>
      <c r="N139" s="781">
        <f t="shared" si="46"/>
        <v>0</v>
      </c>
      <c r="O139" s="781">
        <f t="shared" si="46"/>
        <v>0</v>
      </c>
      <c r="P139" s="781">
        <f t="shared" si="46"/>
        <v>0</v>
      </c>
      <c r="Q139" s="781">
        <f t="shared" si="46"/>
        <v>0</v>
      </c>
      <c r="R139" s="781">
        <f t="shared" si="46"/>
        <v>0</v>
      </c>
      <c r="S139" s="781">
        <f t="shared" si="46"/>
        <v>0</v>
      </c>
      <c r="T139" s="781">
        <f t="shared" si="46"/>
        <v>0</v>
      </c>
      <c r="U139" s="781">
        <f t="shared" si="46"/>
        <v>0</v>
      </c>
      <c r="V139" s="781">
        <f t="shared" si="46"/>
        <v>0</v>
      </c>
      <c r="W139" s="781">
        <f t="shared" si="46"/>
        <v>0</v>
      </c>
      <c r="X139" s="781">
        <f t="shared" si="46"/>
        <v>0</v>
      </c>
    </row>
    <row r="140" spans="1:24">
      <c r="A140" s="856"/>
      <c r="B140" s="858" t="s">
        <v>84</v>
      </c>
      <c r="C140" s="856" t="s">
        <v>21</v>
      </c>
      <c r="D140" s="781">
        <f>H140+K140</f>
        <v>107.86650999999999</v>
      </c>
      <c r="E140" s="781">
        <f t="shared" si="45"/>
        <v>0</v>
      </c>
      <c r="F140" s="781">
        <f t="shared" si="45"/>
        <v>0</v>
      </c>
      <c r="G140" s="781">
        <f t="shared" si="45"/>
        <v>0</v>
      </c>
      <c r="H140" s="781">
        <f>'2 квартал'!I140+'1 квартал'!I140</f>
        <v>72.529509999999988</v>
      </c>
      <c r="I140" s="781">
        <f>'2 квартал'!I140+'1 квартал'!I140</f>
        <v>72.529509999999988</v>
      </c>
      <c r="J140" s="781">
        <f t="shared" si="46"/>
        <v>0</v>
      </c>
      <c r="K140" s="781">
        <f t="shared" si="46"/>
        <v>35.337000000000003</v>
      </c>
      <c r="L140" s="781">
        <f t="shared" si="46"/>
        <v>35.337000000000003</v>
      </c>
      <c r="M140" s="781">
        <f t="shared" si="46"/>
        <v>0</v>
      </c>
      <c r="N140" s="781">
        <f t="shared" si="46"/>
        <v>0</v>
      </c>
      <c r="O140" s="781">
        <f t="shared" si="46"/>
        <v>0</v>
      </c>
      <c r="P140" s="781">
        <f t="shared" si="46"/>
        <v>0</v>
      </c>
      <c r="Q140" s="781">
        <f t="shared" si="46"/>
        <v>0</v>
      </c>
      <c r="R140" s="781">
        <f t="shared" si="46"/>
        <v>0</v>
      </c>
      <c r="S140" s="781">
        <f t="shared" si="46"/>
        <v>0</v>
      </c>
      <c r="T140" s="781">
        <f t="shared" si="46"/>
        <v>0</v>
      </c>
      <c r="U140" s="781">
        <f t="shared" si="46"/>
        <v>0</v>
      </c>
      <c r="V140" s="781">
        <f t="shared" si="46"/>
        <v>0</v>
      </c>
      <c r="W140" s="781">
        <f t="shared" si="46"/>
        <v>0</v>
      </c>
      <c r="X140" s="781">
        <f t="shared" si="46"/>
        <v>0</v>
      </c>
    </row>
    <row r="141" spans="1:24">
      <c r="A141" s="856" t="s">
        <v>167</v>
      </c>
      <c r="B141" s="856" t="s">
        <v>168</v>
      </c>
      <c r="C141" s="856" t="s">
        <v>47</v>
      </c>
      <c r="D141" s="781">
        <f t="shared" ref="D141:D146" si="47">E141+H141+K141+N141+P141+R141+U141+W141</f>
        <v>0</v>
      </c>
      <c r="E141" s="781">
        <f t="shared" ref="E141:E156" si="48">F141+G141</f>
        <v>0</v>
      </c>
      <c r="F141" s="857"/>
      <c r="G141" s="857"/>
      <c r="H141" s="781">
        <f>'2 квартал'!I141+'1 квартал'!I141</f>
        <v>0</v>
      </c>
      <c r="I141" s="781">
        <f>'2 квартал'!I141+'1 квартал'!I141</f>
        <v>0</v>
      </c>
      <c r="J141" s="857"/>
      <c r="K141" s="781">
        <f t="shared" ref="K141:K156" si="49">L141+M141</f>
        <v>0</v>
      </c>
      <c r="L141" s="857"/>
      <c r="M141" s="857"/>
      <c r="N141" s="781">
        <f t="shared" ref="N141:N156" si="50">O141</f>
        <v>0</v>
      </c>
      <c r="O141" s="857"/>
      <c r="P141" s="781">
        <f t="shared" ref="P141:P156" si="51">Q141</f>
        <v>0</v>
      </c>
      <c r="Q141" s="781"/>
      <c r="R141" s="781">
        <f t="shared" ref="R141:R156" si="52">S141+T141</f>
        <v>0</v>
      </c>
      <c r="S141" s="781"/>
      <c r="T141" s="781"/>
      <c r="U141" s="781">
        <f t="shared" ref="U141:U156" si="53">V141</f>
        <v>0</v>
      </c>
      <c r="V141" s="781"/>
      <c r="W141" s="781">
        <f t="shared" ref="W141:W156" si="54">X141</f>
        <v>0</v>
      </c>
      <c r="X141" s="781"/>
    </row>
    <row r="142" spans="1:24">
      <c r="A142" s="856"/>
      <c r="B142" s="856"/>
      <c r="C142" s="856" t="s">
        <v>21</v>
      </c>
      <c r="D142" s="781">
        <f t="shared" si="47"/>
        <v>0</v>
      </c>
      <c r="E142" s="781">
        <f t="shared" si="48"/>
        <v>0</v>
      </c>
      <c r="F142" s="857"/>
      <c r="G142" s="857"/>
      <c r="H142" s="781">
        <f>'2 квартал'!I142+'1 квартал'!I142</f>
        <v>0</v>
      </c>
      <c r="I142" s="781">
        <f>'2 квартал'!I142+'1 квартал'!I142</f>
        <v>0</v>
      </c>
      <c r="J142" s="857"/>
      <c r="K142" s="781">
        <f t="shared" si="49"/>
        <v>0</v>
      </c>
      <c r="L142" s="857"/>
      <c r="M142" s="857"/>
      <c r="N142" s="781">
        <f t="shared" si="50"/>
        <v>0</v>
      </c>
      <c r="O142" s="857"/>
      <c r="P142" s="781">
        <f t="shared" si="51"/>
        <v>0</v>
      </c>
      <c r="Q142" s="781"/>
      <c r="R142" s="781">
        <f t="shared" si="52"/>
        <v>0</v>
      </c>
      <c r="S142" s="781"/>
      <c r="T142" s="781"/>
      <c r="U142" s="781">
        <f t="shared" si="53"/>
        <v>0</v>
      </c>
      <c r="V142" s="781"/>
      <c r="W142" s="781">
        <f t="shared" si="54"/>
        <v>0</v>
      </c>
      <c r="X142" s="781"/>
    </row>
    <row r="143" spans="1:24">
      <c r="A143" s="856" t="s">
        <v>169</v>
      </c>
      <c r="B143" s="856" t="s">
        <v>170</v>
      </c>
      <c r="C143" s="856" t="s">
        <v>47</v>
      </c>
      <c r="D143" s="781">
        <f t="shared" si="47"/>
        <v>6</v>
      </c>
      <c r="E143" s="781">
        <f t="shared" si="48"/>
        <v>0</v>
      </c>
      <c r="F143" s="857"/>
      <c r="G143" s="857"/>
      <c r="H143" s="781">
        <f>'2 квартал'!I143+'1 квартал'!I143</f>
        <v>6</v>
      </c>
      <c r="I143" s="781">
        <f>'2 квартал'!I143+'1 квартал'!I143+4</f>
        <v>10</v>
      </c>
      <c r="J143" s="857"/>
      <c r="K143" s="781">
        <f t="shared" si="49"/>
        <v>0</v>
      </c>
      <c r="L143" s="857"/>
      <c r="M143" s="857"/>
      <c r="N143" s="781">
        <f t="shared" si="50"/>
        <v>0</v>
      </c>
      <c r="O143" s="857"/>
      <c r="P143" s="781">
        <f t="shared" si="51"/>
        <v>0</v>
      </c>
      <c r="Q143" s="781"/>
      <c r="R143" s="781">
        <f t="shared" si="52"/>
        <v>0</v>
      </c>
      <c r="S143" s="781"/>
      <c r="T143" s="781"/>
      <c r="U143" s="781">
        <f t="shared" si="53"/>
        <v>0</v>
      </c>
      <c r="V143" s="781"/>
      <c r="W143" s="781">
        <f t="shared" si="54"/>
        <v>0</v>
      </c>
      <c r="X143" s="781"/>
    </row>
    <row r="144" spans="1:24">
      <c r="A144" s="856"/>
      <c r="B144" s="856"/>
      <c r="C144" s="856" t="s">
        <v>21</v>
      </c>
      <c r="D144" s="781">
        <f t="shared" si="47"/>
        <v>2.6105399999999999</v>
      </c>
      <c r="E144" s="781">
        <f t="shared" si="48"/>
        <v>0</v>
      </c>
      <c r="F144" s="857"/>
      <c r="G144" s="857"/>
      <c r="H144" s="781">
        <f>'2 квартал'!I144+'1 квартал'!I144</f>
        <v>2.6105399999999999</v>
      </c>
      <c r="I144" s="781">
        <f>'2 квартал'!I144+'1 квартал'!I144+1.409</f>
        <v>4.0195400000000001</v>
      </c>
      <c r="J144" s="857"/>
      <c r="K144" s="781">
        <f t="shared" si="49"/>
        <v>0</v>
      </c>
      <c r="L144" s="857"/>
      <c r="M144" s="857"/>
      <c r="N144" s="781">
        <f t="shared" si="50"/>
        <v>0</v>
      </c>
      <c r="O144" s="857"/>
      <c r="P144" s="781">
        <f t="shared" si="51"/>
        <v>0</v>
      </c>
      <c r="Q144" s="781"/>
      <c r="R144" s="781">
        <f t="shared" si="52"/>
        <v>0</v>
      </c>
      <c r="S144" s="781"/>
      <c r="T144" s="781"/>
      <c r="U144" s="781">
        <f t="shared" si="53"/>
        <v>0</v>
      </c>
      <c r="V144" s="781"/>
      <c r="W144" s="781">
        <f t="shared" si="54"/>
        <v>0</v>
      </c>
      <c r="X144" s="781"/>
    </row>
    <row r="145" spans="1:24">
      <c r="A145" s="856" t="s">
        <v>171</v>
      </c>
      <c r="B145" s="856" t="s">
        <v>172</v>
      </c>
      <c r="C145" s="856" t="s">
        <v>47</v>
      </c>
      <c r="D145" s="781">
        <f t="shared" si="47"/>
        <v>0</v>
      </c>
      <c r="E145" s="781">
        <f t="shared" si="48"/>
        <v>0</v>
      </c>
      <c r="F145" s="857"/>
      <c r="G145" s="857"/>
      <c r="H145" s="781">
        <f>'2 квартал'!I145+'1 квартал'!I145</f>
        <v>0</v>
      </c>
      <c r="I145" s="781">
        <f>'2 квартал'!I145+'1 квартал'!I145+30</f>
        <v>30</v>
      </c>
      <c r="J145" s="857"/>
      <c r="K145" s="781">
        <f t="shared" si="49"/>
        <v>0</v>
      </c>
      <c r="L145" s="857"/>
      <c r="M145" s="857"/>
      <c r="N145" s="781">
        <f t="shared" si="50"/>
        <v>0</v>
      </c>
      <c r="O145" s="857"/>
      <c r="P145" s="781">
        <f t="shared" si="51"/>
        <v>0</v>
      </c>
      <c r="Q145" s="781"/>
      <c r="R145" s="781">
        <f t="shared" si="52"/>
        <v>0</v>
      </c>
      <c r="S145" s="781"/>
      <c r="T145" s="781"/>
      <c r="U145" s="781">
        <f t="shared" si="53"/>
        <v>0</v>
      </c>
      <c r="V145" s="781"/>
      <c r="W145" s="781">
        <f t="shared" si="54"/>
        <v>0</v>
      </c>
      <c r="X145" s="781"/>
    </row>
    <row r="146" spans="1:24">
      <c r="A146" s="856"/>
      <c r="B146" s="856"/>
      <c r="C146" s="856" t="s">
        <v>21</v>
      </c>
      <c r="D146" s="781">
        <f t="shared" si="47"/>
        <v>0</v>
      </c>
      <c r="E146" s="781">
        <f t="shared" si="48"/>
        <v>0</v>
      </c>
      <c r="F146" s="857"/>
      <c r="G146" s="857"/>
      <c r="H146" s="781">
        <f>'2 квартал'!I146+'1 квартал'!I146</f>
        <v>0</v>
      </c>
      <c r="I146" s="781">
        <f>'2 квартал'!I146+'1 квартал'!I146+1.901</f>
        <v>1.901</v>
      </c>
      <c r="J146" s="857"/>
      <c r="K146" s="781">
        <f t="shared" si="49"/>
        <v>0</v>
      </c>
      <c r="L146" s="857"/>
      <c r="M146" s="857"/>
      <c r="N146" s="781">
        <f t="shared" si="50"/>
        <v>0</v>
      </c>
      <c r="O146" s="857"/>
      <c r="P146" s="781">
        <f t="shared" si="51"/>
        <v>0</v>
      </c>
      <c r="Q146" s="781"/>
      <c r="R146" s="781">
        <f t="shared" si="52"/>
        <v>0</v>
      </c>
      <c r="S146" s="781"/>
      <c r="T146" s="781"/>
      <c r="U146" s="781">
        <f t="shared" si="53"/>
        <v>0</v>
      </c>
      <c r="V146" s="781"/>
      <c r="W146" s="781">
        <f t="shared" si="54"/>
        <v>0</v>
      </c>
      <c r="X146" s="781"/>
    </row>
    <row r="147" spans="1:24">
      <c r="A147" s="856" t="s">
        <v>173</v>
      </c>
      <c r="B147" s="856" t="s">
        <v>174</v>
      </c>
      <c r="C147" s="856" t="s">
        <v>47</v>
      </c>
      <c r="D147" s="781">
        <f>H147</f>
        <v>4142</v>
      </c>
      <c r="E147" s="781">
        <f t="shared" si="48"/>
        <v>0</v>
      </c>
      <c r="F147" s="857"/>
      <c r="G147" s="857"/>
      <c r="H147" s="781">
        <f>'2 квартал'!I147+'1 квартал'!I147</f>
        <v>4142</v>
      </c>
      <c r="I147" s="781">
        <f>'2 квартал'!I147+'1 квартал'!I147</f>
        <v>4142</v>
      </c>
      <c r="J147" s="857"/>
      <c r="K147" s="781">
        <f t="shared" si="49"/>
        <v>0</v>
      </c>
      <c r="L147" s="857"/>
      <c r="M147" s="857"/>
      <c r="N147" s="781">
        <f t="shared" si="50"/>
        <v>0</v>
      </c>
      <c r="O147" s="857"/>
      <c r="P147" s="781">
        <f t="shared" si="51"/>
        <v>0</v>
      </c>
      <c r="Q147" s="781"/>
      <c r="R147" s="781">
        <f t="shared" si="52"/>
        <v>0</v>
      </c>
      <c r="S147" s="781"/>
      <c r="T147" s="781"/>
      <c r="U147" s="781">
        <f t="shared" si="53"/>
        <v>0</v>
      </c>
      <c r="V147" s="781"/>
      <c r="W147" s="781">
        <f t="shared" si="54"/>
        <v>0</v>
      </c>
      <c r="X147" s="781"/>
    </row>
    <row r="148" spans="1:24">
      <c r="A148" s="856"/>
      <c r="B148" s="856"/>
      <c r="C148" s="856" t="s">
        <v>21</v>
      </c>
      <c r="D148" s="781">
        <v>0</v>
      </c>
      <c r="E148" s="781">
        <f t="shared" si="48"/>
        <v>0</v>
      </c>
      <c r="F148" s="857"/>
      <c r="G148" s="857"/>
      <c r="H148" s="781">
        <f>'2 квартал'!I148+'1 квартал'!I148</f>
        <v>44.854390000000002</v>
      </c>
      <c r="I148" s="781">
        <f>'2 квартал'!I148+'1 квартал'!I148</f>
        <v>44.854390000000002</v>
      </c>
      <c r="J148" s="857"/>
      <c r="K148" s="781">
        <f t="shared" si="49"/>
        <v>0</v>
      </c>
      <c r="L148" s="857"/>
      <c r="M148" s="857"/>
      <c r="N148" s="781">
        <f t="shared" si="50"/>
        <v>0</v>
      </c>
      <c r="O148" s="857"/>
      <c r="P148" s="781">
        <f t="shared" si="51"/>
        <v>0</v>
      </c>
      <c r="Q148" s="781"/>
      <c r="R148" s="781">
        <f t="shared" si="52"/>
        <v>0</v>
      </c>
      <c r="S148" s="781"/>
      <c r="T148" s="781"/>
      <c r="U148" s="781">
        <f t="shared" si="53"/>
        <v>0</v>
      </c>
      <c r="V148" s="781"/>
      <c r="W148" s="781">
        <f t="shared" si="54"/>
        <v>0</v>
      </c>
      <c r="X148" s="781"/>
    </row>
    <row r="149" spans="1:24">
      <c r="A149" s="856" t="s">
        <v>175</v>
      </c>
      <c r="B149" s="856" t="s">
        <v>176</v>
      </c>
      <c r="C149" s="856" t="s">
        <v>47</v>
      </c>
      <c r="D149" s="781">
        <f t="shared" ref="D149:D156" si="55">E149+H149+K149+N149+P149+R149+U149+W149</f>
        <v>9130</v>
      </c>
      <c r="E149" s="781">
        <f t="shared" si="48"/>
        <v>0</v>
      </c>
      <c r="F149" s="857"/>
      <c r="G149" s="857"/>
      <c r="H149" s="781">
        <f>I149</f>
        <v>7831</v>
      </c>
      <c r="I149" s="781">
        <f>'2 квартал'!I149+'1 квартал'!I149+2705+2916</f>
        <v>7831</v>
      </c>
      <c r="J149" s="857"/>
      <c r="K149" s="781">
        <f t="shared" si="49"/>
        <v>1299</v>
      </c>
      <c r="L149" s="857">
        <f>905+394</f>
        <v>1299</v>
      </c>
      <c r="M149" s="857"/>
      <c r="N149" s="781">
        <f t="shared" si="50"/>
        <v>0</v>
      </c>
      <c r="O149" s="857"/>
      <c r="P149" s="781">
        <f t="shared" si="51"/>
        <v>0</v>
      </c>
      <c r="Q149" s="781"/>
      <c r="R149" s="781">
        <f t="shared" si="52"/>
        <v>0</v>
      </c>
      <c r="S149" s="781"/>
      <c r="T149" s="781"/>
      <c r="U149" s="781">
        <f t="shared" si="53"/>
        <v>0</v>
      </c>
      <c r="V149" s="781"/>
      <c r="W149" s="781">
        <f t="shared" si="54"/>
        <v>0</v>
      </c>
      <c r="X149" s="781"/>
    </row>
    <row r="150" spans="1:24">
      <c r="A150" s="856"/>
      <c r="B150" s="856"/>
      <c r="C150" s="856" t="s">
        <v>21</v>
      </c>
      <c r="D150" s="781">
        <f t="shared" si="55"/>
        <v>102.39091000000001</v>
      </c>
      <c r="E150" s="781">
        <f t="shared" si="48"/>
        <v>0</v>
      </c>
      <c r="F150" s="857"/>
      <c r="G150" s="857"/>
      <c r="H150" s="781">
        <f>I150</f>
        <v>67.053910000000002</v>
      </c>
      <c r="I150" s="781">
        <f>'2 квартал'!I150+'1 квартал'!I150+11.58559+30.721</f>
        <v>67.053910000000002</v>
      </c>
      <c r="J150" s="857"/>
      <c r="K150" s="781">
        <f t="shared" si="49"/>
        <v>35.337000000000003</v>
      </c>
      <c r="L150" s="857">
        <f>31.408+3.929</f>
        <v>35.337000000000003</v>
      </c>
      <c r="M150" s="857"/>
      <c r="N150" s="781">
        <f t="shared" si="50"/>
        <v>0</v>
      </c>
      <c r="O150" s="857"/>
      <c r="P150" s="781">
        <f t="shared" si="51"/>
        <v>0</v>
      </c>
      <c r="Q150" s="781"/>
      <c r="R150" s="781">
        <f t="shared" si="52"/>
        <v>0</v>
      </c>
      <c r="S150" s="781"/>
      <c r="T150" s="781"/>
      <c r="U150" s="781">
        <f t="shared" si="53"/>
        <v>0</v>
      </c>
      <c r="V150" s="781"/>
      <c r="W150" s="781">
        <f t="shared" si="54"/>
        <v>0</v>
      </c>
      <c r="X150" s="781"/>
    </row>
    <row r="151" spans="1:24">
      <c r="A151" s="856" t="s">
        <v>177</v>
      </c>
      <c r="B151" s="856" t="s">
        <v>178</v>
      </c>
      <c r="C151" s="856" t="s">
        <v>47</v>
      </c>
      <c r="D151" s="781">
        <f t="shared" si="55"/>
        <v>0</v>
      </c>
      <c r="E151" s="781">
        <f t="shared" si="48"/>
        <v>0</v>
      </c>
      <c r="F151" s="857"/>
      <c r="G151" s="857"/>
      <c r="H151" s="781">
        <f>'2 квартал'!I151+'1 квартал'!I151</f>
        <v>0</v>
      </c>
      <c r="I151" s="781">
        <f>'2 квартал'!I151+'1 квартал'!I151</f>
        <v>0</v>
      </c>
      <c r="J151" s="857"/>
      <c r="K151" s="781">
        <f t="shared" si="49"/>
        <v>0</v>
      </c>
      <c r="L151" s="857"/>
      <c r="M151" s="857"/>
      <c r="N151" s="781">
        <f t="shared" si="50"/>
        <v>0</v>
      </c>
      <c r="O151" s="857"/>
      <c r="P151" s="781">
        <f t="shared" si="51"/>
        <v>0</v>
      </c>
      <c r="Q151" s="781"/>
      <c r="R151" s="781">
        <f t="shared" si="52"/>
        <v>0</v>
      </c>
      <c r="S151" s="781"/>
      <c r="T151" s="781"/>
      <c r="U151" s="781">
        <f t="shared" si="53"/>
        <v>0</v>
      </c>
      <c r="V151" s="781"/>
      <c r="W151" s="781">
        <f t="shared" si="54"/>
        <v>0</v>
      </c>
      <c r="X151" s="781"/>
    </row>
    <row r="152" spans="1:24">
      <c r="A152" s="856"/>
      <c r="B152" s="856"/>
      <c r="C152" s="856" t="s">
        <v>21</v>
      </c>
      <c r="D152" s="781">
        <f t="shared" si="55"/>
        <v>0</v>
      </c>
      <c r="E152" s="781">
        <f t="shared" si="48"/>
        <v>0</v>
      </c>
      <c r="F152" s="857"/>
      <c r="G152" s="857"/>
      <c r="H152" s="781">
        <f>'2 квартал'!I152+'1 квартал'!I152</f>
        <v>0</v>
      </c>
      <c r="I152" s="781">
        <f>'2 квартал'!I152+'1 квартал'!I152</f>
        <v>0</v>
      </c>
      <c r="J152" s="857"/>
      <c r="K152" s="781">
        <f t="shared" si="49"/>
        <v>0</v>
      </c>
      <c r="L152" s="857"/>
      <c r="M152" s="857"/>
      <c r="N152" s="781">
        <f t="shared" si="50"/>
        <v>0</v>
      </c>
      <c r="O152" s="857"/>
      <c r="P152" s="781">
        <f t="shared" si="51"/>
        <v>0</v>
      </c>
      <c r="Q152" s="781"/>
      <c r="R152" s="781">
        <f t="shared" si="52"/>
        <v>0</v>
      </c>
      <c r="S152" s="781"/>
      <c r="T152" s="781"/>
      <c r="U152" s="781">
        <f t="shared" si="53"/>
        <v>0</v>
      </c>
      <c r="V152" s="781"/>
      <c r="W152" s="781">
        <f t="shared" si="54"/>
        <v>0</v>
      </c>
      <c r="X152" s="781"/>
    </row>
    <row r="153" spans="1:24">
      <c r="A153" s="856" t="s">
        <v>179</v>
      </c>
      <c r="B153" s="856" t="s">
        <v>180</v>
      </c>
      <c r="C153" s="856" t="s">
        <v>47</v>
      </c>
      <c r="D153" s="781">
        <f t="shared" si="55"/>
        <v>10</v>
      </c>
      <c r="E153" s="781">
        <f t="shared" si="48"/>
        <v>0</v>
      </c>
      <c r="F153" s="857"/>
      <c r="G153" s="857"/>
      <c r="H153" s="781">
        <f>'2 квартал'!I153+'1 квартал'!I153</f>
        <v>10</v>
      </c>
      <c r="I153" s="781">
        <f>'2 квартал'!I153+'1 квартал'!I153</f>
        <v>10</v>
      </c>
      <c r="J153" s="857"/>
      <c r="K153" s="781">
        <f t="shared" si="49"/>
        <v>0</v>
      </c>
      <c r="L153" s="857"/>
      <c r="M153" s="857"/>
      <c r="N153" s="781">
        <f t="shared" si="50"/>
        <v>0</v>
      </c>
      <c r="O153" s="857"/>
      <c r="P153" s="781">
        <f t="shared" si="51"/>
        <v>0</v>
      </c>
      <c r="Q153" s="781"/>
      <c r="R153" s="781">
        <f t="shared" si="52"/>
        <v>0</v>
      </c>
      <c r="S153" s="781"/>
      <c r="T153" s="781"/>
      <c r="U153" s="781">
        <f t="shared" si="53"/>
        <v>0</v>
      </c>
      <c r="V153" s="781"/>
      <c r="W153" s="781">
        <f t="shared" si="54"/>
        <v>0</v>
      </c>
      <c r="X153" s="781"/>
    </row>
    <row r="154" spans="1:24">
      <c r="A154" s="856"/>
      <c r="B154" s="856"/>
      <c r="C154" s="856" t="s">
        <v>21</v>
      </c>
      <c r="D154" s="781">
        <f t="shared" si="55"/>
        <v>0.31725999999999999</v>
      </c>
      <c r="E154" s="781">
        <f t="shared" si="48"/>
        <v>0</v>
      </c>
      <c r="F154" s="857"/>
      <c r="G154" s="857"/>
      <c r="H154" s="781">
        <f>'2 квартал'!I154+'1 квартал'!I154</f>
        <v>0.31725999999999999</v>
      </c>
      <c r="I154" s="781">
        <f>'2 квартал'!I154+'1 квартал'!I154</f>
        <v>0.31725999999999999</v>
      </c>
      <c r="J154" s="857"/>
      <c r="K154" s="781">
        <f t="shared" si="49"/>
        <v>0</v>
      </c>
      <c r="L154" s="857"/>
      <c r="M154" s="857"/>
      <c r="N154" s="781">
        <f t="shared" si="50"/>
        <v>0</v>
      </c>
      <c r="O154" s="857"/>
      <c r="P154" s="781">
        <f t="shared" si="51"/>
        <v>0</v>
      </c>
      <c r="Q154" s="781"/>
      <c r="R154" s="781">
        <f t="shared" si="52"/>
        <v>0</v>
      </c>
      <c r="S154" s="781"/>
      <c r="T154" s="781"/>
      <c r="U154" s="781">
        <f t="shared" si="53"/>
        <v>0</v>
      </c>
      <c r="V154" s="781"/>
      <c r="W154" s="781">
        <f t="shared" si="54"/>
        <v>0</v>
      </c>
      <c r="X154" s="781"/>
    </row>
    <row r="155" spans="1:24">
      <c r="A155" s="856" t="s">
        <v>181</v>
      </c>
      <c r="B155" s="856" t="s">
        <v>182</v>
      </c>
      <c r="C155" s="856" t="s">
        <v>47</v>
      </c>
      <c r="D155" s="781">
        <f t="shared" si="55"/>
        <v>0</v>
      </c>
      <c r="E155" s="781">
        <f t="shared" si="48"/>
        <v>0</v>
      </c>
      <c r="F155" s="857"/>
      <c r="G155" s="857"/>
      <c r="H155" s="781">
        <f>'2 квартал'!I155+'1 квартал'!I155</f>
        <v>0</v>
      </c>
      <c r="I155" s="781">
        <f>'2 квартал'!I155+'1 квартал'!I155</f>
        <v>0</v>
      </c>
      <c r="J155" s="857"/>
      <c r="K155" s="781">
        <f t="shared" si="49"/>
        <v>0</v>
      </c>
      <c r="L155" s="857"/>
      <c r="M155" s="857"/>
      <c r="N155" s="781">
        <f t="shared" si="50"/>
        <v>0</v>
      </c>
      <c r="O155" s="856"/>
      <c r="P155" s="781">
        <f t="shared" si="51"/>
        <v>0</v>
      </c>
      <c r="Q155" s="781"/>
      <c r="R155" s="781">
        <f t="shared" si="52"/>
        <v>0</v>
      </c>
      <c r="S155" s="781"/>
      <c r="T155" s="781"/>
      <c r="U155" s="781">
        <f t="shared" si="53"/>
        <v>0</v>
      </c>
      <c r="V155" s="781"/>
      <c r="W155" s="781">
        <f t="shared" si="54"/>
        <v>0</v>
      </c>
      <c r="X155" s="781"/>
    </row>
    <row r="156" spans="1:24">
      <c r="A156" s="856"/>
      <c r="B156" s="856"/>
      <c r="C156" s="856" t="s">
        <v>21</v>
      </c>
      <c r="D156" s="781">
        <f t="shared" si="55"/>
        <v>0</v>
      </c>
      <c r="E156" s="781">
        <f t="shared" si="48"/>
        <v>0</v>
      </c>
      <c r="F156" s="857"/>
      <c r="G156" s="857"/>
      <c r="H156" s="781">
        <f>'2 квартал'!I156+'1 квартал'!I156</f>
        <v>0</v>
      </c>
      <c r="I156" s="781">
        <f>'2 квартал'!I156+'1 квартал'!I156</f>
        <v>0</v>
      </c>
      <c r="J156" s="857"/>
      <c r="K156" s="781">
        <f t="shared" si="49"/>
        <v>0</v>
      </c>
      <c r="L156" s="857"/>
      <c r="M156" s="857"/>
      <c r="N156" s="781">
        <f t="shared" si="50"/>
        <v>0</v>
      </c>
      <c r="O156" s="856"/>
      <c r="P156" s="781">
        <f t="shared" si="51"/>
        <v>0</v>
      </c>
      <c r="Q156" s="781"/>
      <c r="R156" s="781">
        <f t="shared" si="52"/>
        <v>0</v>
      </c>
      <c r="S156" s="781"/>
      <c r="T156" s="781"/>
      <c r="U156" s="781">
        <f t="shared" si="53"/>
        <v>0</v>
      </c>
      <c r="V156" s="781"/>
      <c r="W156" s="781">
        <f t="shared" si="54"/>
        <v>0</v>
      </c>
      <c r="X156" s="781"/>
    </row>
    <row r="158" spans="1:24">
      <c r="A158" s="865" t="s">
        <v>211</v>
      </c>
      <c r="B158" s="865"/>
      <c r="C158" s="865"/>
      <c r="D158" s="1180"/>
      <c r="E158" s="1180"/>
      <c r="F158" s="976"/>
      <c r="G158" s="976"/>
      <c r="H158" s="976"/>
      <c r="I158" s="866"/>
      <c r="J158" s="866"/>
    </row>
    <row r="159" spans="1:24">
      <c r="A159" s="1720" t="s">
        <v>212</v>
      </c>
      <c r="B159" s="1720"/>
      <c r="C159" s="1720"/>
      <c r="D159" s="1720"/>
      <c r="E159" s="1720"/>
      <c r="F159" s="1720"/>
      <c r="G159" s="1720"/>
      <c r="H159" s="1720"/>
      <c r="I159" s="1720"/>
      <c r="J159" s="1720"/>
    </row>
    <row r="160" spans="1:24">
      <c r="A160" s="867"/>
      <c r="B160" s="866"/>
      <c r="C160" s="866"/>
      <c r="D160" s="1181"/>
      <c r="E160" s="1181"/>
      <c r="F160" s="1181"/>
      <c r="G160" s="1181"/>
      <c r="H160" s="1181"/>
      <c r="I160" s="866"/>
      <c r="J160" s="866"/>
    </row>
    <row r="161" spans="1:10">
      <c r="A161" s="865" t="s">
        <v>213</v>
      </c>
      <c r="B161" s="865"/>
      <c r="C161" s="865"/>
      <c r="D161" s="1182"/>
      <c r="E161" s="1182"/>
      <c r="F161" s="1181"/>
      <c r="G161" s="1181"/>
      <c r="H161" s="1181"/>
      <c r="I161" s="866"/>
      <c r="J161" s="866"/>
    </row>
  </sheetData>
  <mergeCells count="28">
    <mergeCell ref="A7:M7"/>
    <mergeCell ref="R10:T11"/>
    <mergeCell ref="T2:X2"/>
    <mergeCell ref="T3:X3"/>
    <mergeCell ref="T4:X4"/>
    <mergeCell ref="T5:X5"/>
    <mergeCell ref="T6:X6"/>
    <mergeCell ref="A10:A12"/>
    <mergeCell ref="B10:B12"/>
    <mergeCell ref="C10:C12"/>
    <mergeCell ref="D10:D12"/>
    <mergeCell ref="E10:Q10"/>
    <mergeCell ref="A159:J159"/>
    <mergeCell ref="A14:A16"/>
    <mergeCell ref="A101:T101"/>
    <mergeCell ref="K9:X9"/>
    <mergeCell ref="J1:L1"/>
    <mergeCell ref="J2:L2"/>
    <mergeCell ref="J3:L3"/>
    <mergeCell ref="J4:L4"/>
    <mergeCell ref="J5:N5"/>
    <mergeCell ref="U10:V11"/>
    <mergeCell ref="W10:X11"/>
    <mergeCell ref="E11:G11"/>
    <mergeCell ref="H11:J11"/>
    <mergeCell ref="K11:M11"/>
    <mergeCell ref="N11:O11"/>
    <mergeCell ref="P11:Q1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"/>
  <dimension ref="A2:P99"/>
  <sheetViews>
    <sheetView topLeftCell="A16" workbookViewId="0">
      <selection activeCell="K6" sqref="K6"/>
    </sheetView>
  </sheetViews>
  <sheetFormatPr defaultColWidth="9.140625" defaultRowHeight="18.75"/>
  <cols>
    <col min="1" max="1" width="9.7109375" style="363" customWidth="1"/>
    <col min="2" max="2" width="66.5703125" style="363" customWidth="1"/>
    <col min="3" max="3" width="10.7109375" style="363" customWidth="1"/>
    <col min="4" max="4" width="15.7109375" style="419" customWidth="1"/>
    <col min="5" max="9" width="9.140625" style="363" hidden="1" customWidth="1"/>
    <col min="10" max="10" width="13.140625" style="363" customWidth="1"/>
    <col min="11" max="11" width="13" style="361" customWidth="1"/>
    <col min="12" max="13" width="9.140625" style="362" customWidth="1"/>
    <col min="14" max="242" width="8.85546875" style="363"/>
    <col min="243" max="243" width="9.7109375" style="363" customWidth="1"/>
    <col min="244" max="244" width="68.5703125" style="363" customWidth="1"/>
    <col min="245" max="245" width="10.7109375" style="363" customWidth="1"/>
    <col min="246" max="246" width="11.140625" style="363" customWidth="1"/>
    <col min="247" max="247" width="0.7109375" style="363" customWidth="1"/>
    <col min="248" max="249" width="9.140625" style="363" customWidth="1"/>
    <col min="250" max="250" width="10" style="363" customWidth="1"/>
    <col min="251" max="251" width="10.28515625" style="363" customWidth="1"/>
    <col min="252" max="252" width="11.28515625" style="363" customWidth="1"/>
    <col min="253" max="253" width="11.5703125" style="363" customWidth="1"/>
    <col min="254" max="254" width="9.85546875" style="363" customWidth="1"/>
    <col min="255" max="255" width="10.28515625" style="363" customWidth="1"/>
    <col min="256" max="256" width="8.85546875" style="363"/>
    <col min="257" max="257" width="12.140625" style="363" bestFit="1" customWidth="1"/>
    <col min="258" max="266" width="8.85546875" style="363"/>
    <col min="267" max="269" width="9.140625" style="363" customWidth="1"/>
    <col min="270" max="498" width="8.85546875" style="363"/>
    <col min="499" max="499" width="9.7109375" style="363" customWidth="1"/>
    <col min="500" max="500" width="68.5703125" style="363" customWidth="1"/>
    <col min="501" max="501" width="10.7109375" style="363" customWidth="1"/>
    <col min="502" max="502" width="11.140625" style="363" customWidth="1"/>
    <col min="503" max="503" width="0.7109375" style="363" customWidth="1"/>
    <col min="504" max="505" width="9.140625" style="363" customWidth="1"/>
    <col min="506" max="506" width="10" style="363" customWidth="1"/>
    <col min="507" max="507" width="10.28515625" style="363" customWidth="1"/>
    <col min="508" max="508" width="11.28515625" style="363" customWidth="1"/>
    <col min="509" max="509" width="11.5703125" style="363" customWidth="1"/>
    <col min="510" max="510" width="9.85546875" style="363" customWidth="1"/>
    <col min="511" max="511" width="10.28515625" style="363" customWidth="1"/>
    <col min="512" max="512" width="8.85546875" style="363"/>
    <col min="513" max="513" width="12.140625" style="363" bestFit="1" customWidth="1"/>
    <col min="514" max="522" width="8.85546875" style="363"/>
    <col min="523" max="525" width="9.140625" style="363" customWidth="1"/>
    <col min="526" max="754" width="8.85546875" style="363"/>
    <col min="755" max="755" width="9.7109375" style="363" customWidth="1"/>
    <col min="756" max="756" width="68.5703125" style="363" customWidth="1"/>
    <col min="757" max="757" width="10.7109375" style="363" customWidth="1"/>
    <col min="758" max="758" width="11.140625" style="363" customWidth="1"/>
    <col min="759" max="759" width="0.7109375" style="363" customWidth="1"/>
    <col min="760" max="761" width="9.140625" style="363" customWidth="1"/>
    <col min="762" max="762" width="10" style="363" customWidth="1"/>
    <col min="763" max="763" width="10.28515625" style="363" customWidth="1"/>
    <col min="764" max="764" width="11.28515625" style="363" customWidth="1"/>
    <col min="765" max="765" width="11.5703125" style="363" customWidth="1"/>
    <col min="766" max="766" width="9.85546875" style="363" customWidth="1"/>
    <col min="767" max="767" width="10.28515625" style="363" customWidth="1"/>
    <col min="768" max="768" width="8.85546875" style="363"/>
    <col min="769" max="769" width="12.140625" style="363" bestFit="1" customWidth="1"/>
    <col min="770" max="778" width="8.85546875" style="363"/>
    <col min="779" max="781" width="9.140625" style="363" customWidth="1"/>
    <col min="782" max="1010" width="8.85546875" style="363"/>
    <col min="1011" max="1011" width="9.7109375" style="363" customWidth="1"/>
    <col min="1012" max="1012" width="68.5703125" style="363" customWidth="1"/>
    <col min="1013" max="1013" width="10.7109375" style="363" customWidth="1"/>
    <col min="1014" max="1014" width="11.140625" style="363" customWidth="1"/>
    <col min="1015" max="1015" width="0.7109375" style="363" customWidth="1"/>
    <col min="1016" max="1017" width="9.140625" style="363" customWidth="1"/>
    <col min="1018" max="1018" width="10" style="363" customWidth="1"/>
    <col min="1019" max="1019" width="10.28515625" style="363" customWidth="1"/>
    <col min="1020" max="1020" width="11.28515625" style="363" customWidth="1"/>
    <col min="1021" max="1021" width="11.5703125" style="363" customWidth="1"/>
    <col min="1022" max="1022" width="9.85546875" style="363" customWidth="1"/>
    <col min="1023" max="1023" width="10.28515625" style="363" customWidth="1"/>
    <col min="1024" max="1024" width="8.85546875" style="363"/>
    <col min="1025" max="1025" width="12.140625" style="363" bestFit="1" customWidth="1"/>
    <col min="1026" max="1034" width="9.140625" style="363"/>
    <col min="1035" max="1037" width="9.140625" style="363" customWidth="1"/>
    <col min="1038" max="1266" width="8.85546875" style="363"/>
    <col min="1267" max="1267" width="9.7109375" style="363" customWidth="1"/>
    <col min="1268" max="1268" width="68.5703125" style="363" customWidth="1"/>
    <col min="1269" max="1269" width="10.7109375" style="363" customWidth="1"/>
    <col min="1270" max="1270" width="11.140625" style="363" customWidth="1"/>
    <col min="1271" max="1271" width="0.7109375" style="363" customWidth="1"/>
    <col min="1272" max="1273" width="9.140625" style="363" customWidth="1"/>
    <col min="1274" max="1274" width="10" style="363" customWidth="1"/>
    <col min="1275" max="1275" width="10.28515625" style="363" customWidth="1"/>
    <col min="1276" max="1276" width="11.28515625" style="363" customWidth="1"/>
    <col min="1277" max="1277" width="11.5703125" style="363" customWidth="1"/>
    <col min="1278" max="1278" width="9.85546875" style="363" customWidth="1"/>
    <col min="1279" max="1279" width="10.28515625" style="363" customWidth="1"/>
    <col min="1280" max="1280" width="8.85546875" style="363"/>
    <col min="1281" max="1281" width="12.140625" style="363" bestFit="1" customWidth="1"/>
    <col min="1282" max="1290" width="8.85546875" style="363"/>
    <col min="1291" max="1293" width="9.140625" style="363" customWidth="1"/>
    <col min="1294" max="1522" width="8.85546875" style="363"/>
    <col min="1523" max="1523" width="9.7109375" style="363" customWidth="1"/>
    <col min="1524" max="1524" width="68.5703125" style="363" customWidth="1"/>
    <col min="1525" max="1525" width="10.7109375" style="363" customWidth="1"/>
    <col min="1526" max="1526" width="11.140625" style="363" customWidth="1"/>
    <col min="1527" max="1527" width="0.7109375" style="363" customWidth="1"/>
    <col min="1528" max="1529" width="9.140625" style="363" customWidth="1"/>
    <col min="1530" max="1530" width="10" style="363" customWidth="1"/>
    <col min="1531" max="1531" width="10.28515625" style="363" customWidth="1"/>
    <col min="1532" max="1532" width="11.28515625" style="363" customWidth="1"/>
    <col min="1533" max="1533" width="11.5703125" style="363" customWidth="1"/>
    <col min="1534" max="1534" width="9.85546875" style="363" customWidth="1"/>
    <col min="1535" max="1535" width="10.28515625" style="363" customWidth="1"/>
    <col min="1536" max="1536" width="8.85546875" style="363"/>
    <col min="1537" max="1537" width="12.140625" style="363" bestFit="1" customWidth="1"/>
    <col min="1538" max="1546" width="8.85546875" style="363"/>
    <col min="1547" max="1549" width="9.140625" style="363" customWidth="1"/>
    <col min="1550" max="1778" width="8.85546875" style="363"/>
    <col min="1779" max="1779" width="9.7109375" style="363" customWidth="1"/>
    <col min="1780" max="1780" width="68.5703125" style="363" customWidth="1"/>
    <col min="1781" max="1781" width="10.7109375" style="363" customWidth="1"/>
    <col min="1782" max="1782" width="11.140625" style="363" customWidth="1"/>
    <col min="1783" max="1783" width="0.7109375" style="363" customWidth="1"/>
    <col min="1784" max="1785" width="9.140625" style="363" customWidth="1"/>
    <col min="1786" max="1786" width="10" style="363" customWidth="1"/>
    <col min="1787" max="1787" width="10.28515625" style="363" customWidth="1"/>
    <col min="1788" max="1788" width="11.28515625" style="363" customWidth="1"/>
    <col min="1789" max="1789" width="11.5703125" style="363" customWidth="1"/>
    <col min="1790" max="1790" width="9.85546875" style="363" customWidth="1"/>
    <col min="1791" max="1791" width="10.28515625" style="363" customWidth="1"/>
    <col min="1792" max="1792" width="8.85546875" style="363"/>
    <col min="1793" max="1793" width="12.140625" style="363" bestFit="1" customWidth="1"/>
    <col min="1794" max="1802" width="8.85546875" style="363"/>
    <col min="1803" max="1805" width="9.140625" style="363" customWidth="1"/>
    <col min="1806" max="2034" width="8.85546875" style="363"/>
    <col min="2035" max="2035" width="9.7109375" style="363" customWidth="1"/>
    <col min="2036" max="2036" width="68.5703125" style="363" customWidth="1"/>
    <col min="2037" max="2037" width="10.7109375" style="363" customWidth="1"/>
    <col min="2038" max="2038" width="11.140625" style="363" customWidth="1"/>
    <col min="2039" max="2039" width="0.7109375" style="363" customWidth="1"/>
    <col min="2040" max="2041" width="9.140625" style="363" customWidth="1"/>
    <col min="2042" max="2042" width="10" style="363" customWidth="1"/>
    <col min="2043" max="2043" width="10.28515625" style="363" customWidth="1"/>
    <col min="2044" max="2044" width="11.28515625" style="363" customWidth="1"/>
    <col min="2045" max="2045" width="11.5703125" style="363" customWidth="1"/>
    <col min="2046" max="2046" width="9.85546875" style="363" customWidth="1"/>
    <col min="2047" max="2047" width="10.28515625" style="363" customWidth="1"/>
    <col min="2048" max="2048" width="8.85546875" style="363"/>
    <col min="2049" max="2049" width="12.140625" style="363" bestFit="1" customWidth="1"/>
    <col min="2050" max="2058" width="9.140625" style="363"/>
    <col min="2059" max="2061" width="9.140625" style="363" customWidth="1"/>
    <col min="2062" max="2290" width="8.85546875" style="363"/>
    <col min="2291" max="2291" width="9.7109375" style="363" customWidth="1"/>
    <col min="2292" max="2292" width="68.5703125" style="363" customWidth="1"/>
    <col min="2293" max="2293" width="10.7109375" style="363" customWidth="1"/>
    <col min="2294" max="2294" width="11.140625" style="363" customWidth="1"/>
    <col min="2295" max="2295" width="0.7109375" style="363" customWidth="1"/>
    <col min="2296" max="2297" width="9.140625" style="363" customWidth="1"/>
    <col min="2298" max="2298" width="10" style="363" customWidth="1"/>
    <col min="2299" max="2299" width="10.28515625" style="363" customWidth="1"/>
    <col min="2300" max="2300" width="11.28515625" style="363" customWidth="1"/>
    <col min="2301" max="2301" width="11.5703125" style="363" customWidth="1"/>
    <col min="2302" max="2302" width="9.85546875" style="363" customWidth="1"/>
    <col min="2303" max="2303" width="10.28515625" style="363" customWidth="1"/>
    <col min="2304" max="2304" width="8.85546875" style="363"/>
    <col min="2305" max="2305" width="12.140625" style="363" bestFit="1" customWidth="1"/>
    <col min="2306" max="2314" width="8.85546875" style="363"/>
    <col min="2315" max="2317" width="9.140625" style="363" customWidth="1"/>
    <col min="2318" max="2546" width="8.85546875" style="363"/>
    <col min="2547" max="2547" width="9.7109375" style="363" customWidth="1"/>
    <col min="2548" max="2548" width="68.5703125" style="363" customWidth="1"/>
    <col min="2549" max="2549" width="10.7109375" style="363" customWidth="1"/>
    <col min="2550" max="2550" width="11.140625" style="363" customWidth="1"/>
    <col min="2551" max="2551" width="0.7109375" style="363" customWidth="1"/>
    <col min="2552" max="2553" width="9.140625" style="363" customWidth="1"/>
    <col min="2554" max="2554" width="10" style="363" customWidth="1"/>
    <col min="2555" max="2555" width="10.28515625" style="363" customWidth="1"/>
    <col min="2556" max="2556" width="11.28515625" style="363" customWidth="1"/>
    <col min="2557" max="2557" width="11.5703125" style="363" customWidth="1"/>
    <col min="2558" max="2558" width="9.85546875" style="363" customWidth="1"/>
    <col min="2559" max="2559" width="10.28515625" style="363" customWidth="1"/>
    <col min="2560" max="2560" width="8.85546875" style="363"/>
    <col min="2561" max="2561" width="12.140625" style="363" bestFit="1" customWidth="1"/>
    <col min="2562" max="2570" width="8.85546875" style="363"/>
    <col min="2571" max="2573" width="9.140625" style="363" customWidth="1"/>
    <col min="2574" max="2802" width="8.85546875" style="363"/>
    <col min="2803" max="2803" width="9.7109375" style="363" customWidth="1"/>
    <col min="2804" max="2804" width="68.5703125" style="363" customWidth="1"/>
    <col min="2805" max="2805" width="10.7109375" style="363" customWidth="1"/>
    <col min="2806" max="2806" width="11.140625" style="363" customWidth="1"/>
    <col min="2807" max="2807" width="0.7109375" style="363" customWidth="1"/>
    <col min="2808" max="2809" width="9.140625" style="363" customWidth="1"/>
    <col min="2810" max="2810" width="10" style="363" customWidth="1"/>
    <col min="2811" max="2811" width="10.28515625" style="363" customWidth="1"/>
    <col min="2812" max="2812" width="11.28515625" style="363" customWidth="1"/>
    <col min="2813" max="2813" width="11.5703125" style="363" customWidth="1"/>
    <col min="2814" max="2814" width="9.85546875" style="363" customWidth="1"/>
    <col min="2815" max="2815" width="10.28515625" style="363" customWidth="1"/>
    <col min="2816" max="2816" width="8.85546875" style="363"/>
    <col min="2817" max="2817" width="12.140625" style="363" bestFit="1" customWidth="1"/>
    <col min="2818" max="2826" width="8.85546875" style="363"/>
    <col min="2827" max="2829" width="9.140625" style="363" customWidth="1"/>
    <col min="2830" max="3058" width="8.85546875" style="363"/>
    <col min="3059" max="3059" width="9.7109375" style="363" customWidth="1"/>
    <col min="3060" max="3060" width="68.5703125" style="363" customWidth="1"/>
    <col min="3061" max="3061" width="10.7109375" style="363" customWidth="1"/>
    <col min="3062" max="3062" width="11.140625" style="363" customWidth="1"/>
    <col min="3063" max="3063" width="0.7109375" style="363" customWidth="1"/>
    <col min="3064" max="3065" width="9.140625" style="363" customWidth="1"/>
    <col min="3066" max="3066" width="10" style="363" customWidth="1"/>
    <col min="3067" max="3067" width="10.28515625" style="363" customWidth="1"/>
    <col min="3068" max="3068" width="11.28515625" style="363" customWidth="1"/>
    <col min="3069" max="3069" width="11.5703125" style="363" customWidth="1"/>
    <col min="3070" max="3070" width="9.85546875" style="363" customWidth="1"/>
    <col min="3071" max="3071" width="10.28515625" style="363" customWidth="1"/>
    <col min="3072" max="3072" width="8.85546875" style="363"/>
    <col min="3073" max="3073" width="12.140625" style="363" bestFit="1" customWidth="1"/>
    <col min="3074" max="3082" width="9.140625" style="363"/>
    <col min="3083" max="3085" width="9.140625" style="363" customWidth="1"/>
    <col min="3086" max="3314" width="8.85546875" style="363"/>
    <col min="3315" max="3315" width="9.7109375" style="363" customWidth="1"/>
    <col min="3316" max="3316" width="68.5703125" style="363" customWidth="1"/>
    <col min="3317" max="3317" width="10.7109375" style="363" customWidth="1"/>
    <col min="3318" max="3318" width="11.140625" style="363" customWidth="1"/>
    <col min="3319" max="3319" width="0.7109375" style="363" customWidth="1"/>
    <col min="3320" max="3321" width="9.140625" style="363" customWidth="1"/>
    <col min="3322" max="3322" width="10" style="363" customWidth="1"/>
    <col min="3323" max="3323" width="10.28515625" style="363" customWidth="1"/>
    <col min="3324" max="3324" width="11.28515625" style="363" customWidth="1"/>
    <col min="3325" max="3325" width="11.5703125" style="363" customWidth="1"/>
    <col min="3326" max="3326" width="9.85546875" style="363" customWidth="1"/>
    <col min="3327" max="3327" width="10.28515625" style="363" customWidth="1"/>
    <col min="3328" max="3328" width="8.85546875" style="363"/>
    <col min="3329" max="3329" width="12.140625" style="363" bestFit="1" customWidth="1"/>
    <col min="3330" max="3338" width="8.85546875" style="363"/>
    <col min="3339" max="3341" width="9.140625" style="363" customWidth="1"/>
    <col min="3342" max="3570" width="8.85546875" style="363"/>
    <col min="3571" max="3571" width="9.7109375" style="363" customWidth="1"/>
    <col min="3572" max="3572" width="68.5703125" style="363" customWidth="1"/>
    <col min="3573" max="3573" width="10.7109375" style="363" customWidth="1"/>
    <col min="3574" max="3574" width="11.140625" style="363" customWidth="1"/>
    <col min="3575" max="3575" width="0.7109375" style="363" customWidth="1"/>
    <col min="3576" max="3577" width="9.140625" style="363" customWidth="1"/>
    <col min="3578" max="3578" width="10" style="363" customWidth="1"/>
    <col min="3579" max="3579" width="10.28515625" style="363" customWidth="1"/>
    <col min="3580" max="3580" width="11.28515625" style="363" customWidth="1"/>
    <col min="3581" max="3581" width="11.5703125" style="363" customWidth="1"/>
    <col min="3582" max="3582" width="9.85546875" style="363" customWidth="1"/>
    <col min="3583" max="3583" width="10.28515625" style="363" customWidth="1"/>
    <col min="3584" max="3584" width="8.85546875" style="363"/>
    <col min="3585" max="3585" width="12.140625" style="363" bestFit="1" customWidth="1"/>
    <col min="3586" max="3594" width="8.85546875" style="363"/>
    <col min="3595" max="3597" width="9.140625" style="363" customWidth="1"/>
    <col min="3598" max="3826" width="8.85546875" style="363"/>
    <col min="3827" max="3827" width="9.7109375" style="363" customWidth="1"/>
    <col min="3828" max="3828" width="68.5703125" style="363" customWidth="1"/>
    <col min="3829" max="3829" width="10.7109375" style="363" customWidth="1"/>
    <col min="3830" max="3830" width="11.140625" style="363" customWidth="1"/>
    <col min="3831" max="3831" width="0.7109375" style="363" customWidth="1"/>
    <col min="3832" max="3833" width="9.140625" style="363" customWidth="1"/>
    <col min="3834" max="3834" width="10" style="363" customWidth="1"/>
    <col min="3835" max="3835" width="10.28515625" style="363" customWidth="1"/>
    <col min="3836" max="3836" width="11.28515625" style="363" customWidth="1"/>
    <col min="3837" max="3837" width="11.5703125" style="363" customWidth="1"/>
    <col min="3838" max="3838" width="9.85546875" style="363" customWidth="1"/>
    <col min="3839" max="3839" width="10.28515625" style="363" customWidth="1"/>
    <col min="3840" max="3840" width="8.85546875" style="363"/>
    <col min="3841" max="3841" width="12.140625" style="363" bestFit="1" customWidth="1"/>
    <col min="3842" max="3850" width="8.85546875" style="363"/>
    <col min="3851" max="3853" width="9.140625" style="363" customWidth="1"/>
    <col min="3854" max="4082" width="8.85546875" style="363"/>
    <col min="4083" max="4083" width="9.7109375" style="363" customWidth="1"/>
    <col min="4084" max="4084" width="68.5703125" style="363" customWidth="1"/>
    <col min="4085" max="4085" width="10.7109375" style="363" customWidth="1"/>
    <col min="4086" max="4086" width="11.140625" style="363" customWidth="1"/>
    <col min="4087" max="4087" width="0.7109375" style="363" customWidth="1"/>
    <col min="4088" max="4089" width="9.140625" style="363" customWidth="1"/>
    <col min="4090" max="4090" width="10" style="363" customWidth="1"/>
    <col min="4091" max="4091" width="10.28515625" style="363" customWidth="1"/>
    <col min="4092" max="4092" width="11.28515625" style="363" customWidth="1"/>
    <col min="4093" max="4093" width="11.5703125" style="363" customWidth="1"/>
    <col min="4094" max="4094" width="9.85546875" style="363" customWidth="1"/>
    <col min="4095" max="4095" width="10.28515625" style="363" customWidth="1"/>
    <col min="4096" max="4096" width="8.85546875" style="363"/>
    <col min="4097" max="4097" width="12.140625" style="363" bestFit="1" customWidth="1"/>
    <col min="4098" max="4106" width="9.140625" style="363"/>
    <col min="4107" max="4109" width="9.140625" style="363" customWidth="1"/>
    <col min="4110" max="4338" width="8.85546875" style="363"/>
    <col min="4339" max="4339" width="9.7109375" style="363" customWidth="1"/>
    <col min="4340" max="4340" width="68.5703125" style="363" customWidth="1"/>
    <col min="4341" max="4341" width="10.7109375" style="363" customWidth="1"/>
    <col min="4342" max="4342" width="11.140625" style="363" customWidth="1"/>
    <col min="4343" max="4343" width="0.7109375" style="363" customWidth="1"/>
    <col min="4344" max="4345" width="9.140625" style="363" customWidth="1"/>
    <col min="4346" max="4346" width="10" style="363" customWidth="1"/>
    <col min="4347" max="4347" width="10.28515625" style="363" customWidth="1"/>
    <col min="4348" max="4348" width="11.28515625" style="363" customWidth="1"/>
    <col min="4349" max="4349" width="11.5703125" style="363" customWidth="1"/>
    <col min="4350" max="4350" width="9.85546875" style="363" customWidth="1"/>
    <col min="4351" max="4351" width="10.28515625" style="363" customWidth="1"/>
    <col min="4352" max="4352" width="8.85546875" style="363"/>
    <col min="4353" max="4353" width="12.140625" style="363" bestFit="1" customWidth="1"/>
    <col min="4354" max="4362" width="8.85546875" style="363"/>
    <col min="4363" max="4365" width="9.140625" style="363" customWidth="1"/>
    <col min="4366" max="4594" width="8.85546875" style="363"/>
    <col min="4595" max="4595" width="9.7109375" style="363" customWidth="1"/>
    <col min="4596" max="4596" width="68.5703125" style="363" customWidth="1"/>
    <col min="4597" max="4597" width="10.7109375" style="363" customWidth="1"/>
    <col min="4598" max="4598" width="11.140625" style="363" customWidth="1"/>
    <col min="4599" max="4599" width="0.7109375" style="363" customWidth="1"/>
    <col min="4600" max="4601" width="9.140625" style="363" customWidth="1"/>
    <col min="4602" max="4602" width="10" style="363" customWidth="1"/>
    <col min="4603" max="4603" width="10.28515625" style="363" customWidth="1"/>
    <col min="4604" max="4604" width="11.28515625" style="363" customWidth="1"/>
    <col min="4605" max="4605" width="11.5703125" style="363" customWidth="1"/>
    <col min="4606" max="4606" width="9.85546875" style="363" customWidth="1"/>
    <col min="4607" max="4607" width="10.28515625" style="363" customWidth="1"/>
    <col min="4608" max="4608" width="8.85546875" style="363"/>
    <col min="4609" max="4609" width="12.140625" style="363" bestFit="1" customWidth="1"/>
    <col min="4610" max="4618" width="8.85546875" style="363"/>
    <col min="4619" max="4621" width="9.140625" style="363" customWidth="1"/>
    <col min="4622" max="4850" width="8.85546875" style="363"/>
    <col min="4851" max="4851" width="9.7109375" style="363" customWidth="1"/>
    <col min="4852" max="4852" width="68.5703125" style="363" customWidth="1"/>
    <col min="4853" max="4853" width="10.7109375" style="363" customWidth="1"/>
    <col min="4854" max="4854" width="11.140625" style="363" customWidth="1"/>
    <col min="4855" max="4855" width="0.7109375" style="363" customWidth="1"/>
    <col min="4856" max="4857" width="9.140625" style="363" customWidth="1"/>
    <col min="4858" max="4858" width="10" style="363" customWidth="1"/>
    <col min="4859" max="4859" width="10.28515625" style="363" customWidth="1"/>
    <col min="4860" max="4860" width="11.28515625" style="363" customWidth="1"/>
    <col min="4861" max="4861" width="11.5703125" style="363" customWidth="1"/>
    <col min="4862" max="4862" width="9.85546875" style="363" customWidth="1"/>
    <col min="4863" max="4863" width="10.28515625" style="363" customWidth="1"/>
    <col min="4864" max="4864" width="8.85546875" style="363"/>
    <col min="4865" max="4865" width="12.140625" style="363" bestFit="1" customWidth="1"/>
    <col min="4866" max="4874" width="8.85546875" style="363"/>
    <col min="4875" max="4877" width="9.140625" style="363" customWidth="1"/>
    <col min="4878" max="5106" width="8.85546875" style="363"/>
    <col min="5107" max="5107" width="9.7109375" style="363" customWidth="1"/>
    <col min="5108" max="5108" width="68.5703125" style="363" customWidth="1"/>
    <col min="5109" max="5109" width="10.7109375" style="363" customWidth="1"/>
    <col min="5110" max="5110" width="11.140625" style="363" customWidth="1"/>
    <col min="5111" max="5111" width="0.7109375" style="363" customWidth="1"/>
    <col min="5112" max="5113" width="9.140625" style="363" customWidth="1"/>
    <col min="5114" max="5114" width="10" style="363" customWidth="1"/>
    <col min="5115" max="5115" width="10.28515625" style="363" customWidth="1"/>
    <col min="5116" max="5116" width="11.28515625" style="363" customWidth="1"/>
    <col min="5117" max="5117" width="11.5703125" style="363" customWidth="1"/>
    <col min="5118" max="5118" width="9.85546875" style="363" customWidth="1"/>
    <col min="5119" max="5119" width="10.28515625" style="363" customWidth="1"/>
    <col min="5120" max="5120" width="8.85546875" style="363"/>
    <col min="5121" max="5121" width="12.140625" style="363" bestFit="1" customWidth="1"/>
    <col min="5122" max="5130" width="9.140625" style="363"/>
    <col min="5131" max="5133" width="9.140625" style="363" customWidth="1"/>
    <col min="5134" max="5362" width="8.85546875" style="363"/>
    <col min="5363" max="5363" width="9.7109375" style="363" customWidth="1"/>
    <col min="5364" max="5364" width="68.5703125" style="363" customWidth="1"/>
    <col min="5365" max="5365" width="10.7109375" style="363" customWidth="1"/>
    <col min="5366" max="5366" width="11.140625" style="363" customWidth="1"/>
    <col min="5367" max="5367" width="0.7109375" style="363" customWidth="1"/>
    <col min="5368" max="5369" width="9.140625" style="363" customWidth="1"/>
    <col min="5370" max="5370" width="10" style="363" customWidth="1"/>
    <col min="5371" max="5371" width="10.28515625" style="363" customWidth="1"/>
    <col min="5372" max="5372" width="11.28515625" style="363" customWidth="1"/>
    <col min="5373" max="5373" width="11.5703125" style="363" customWidth="1"/>
    <col min="5374" max="5374" width="9.85546875" style="363" customWidth="1"/>
    <col min="5375" max="5375" width="10.28515625" style="363" customWidth="1"/>
    <col min="5376" max="5376" width="8.85546875" style="363"/>
    <col min="5377" max="5377" width="12.140625" style="363" bestFit="1" customWidth="1"/>
    <col min="5378" max="5386" width="8.85546875" style="363"/>
    <col min="5387" max="5389" width="9.140625" style="363" customWidth="1"/>
    <col min="5390" max="5618" width="8.85546875" style="363"/>
    <col min="5619" max="5619" width="9.7109375" style="363" customWidth="1"/>
    <col min="5620" max="5620" width="68.5703125" style="363" customWidth="1"/>
    <col min="5621" max="5621" width="10.7109375" style="363" customWidth="1"/>
    <col min="5622" max="5622" width="11.140625" style="363" customWidth="1"/>
    <col min="5623" max="5623" width="0.7109375" style="363" customWidth="1"/>
    <col min="5624" max="5625" width="9.140625" style="363" customWidth="1"/>
    <col min="5626" max="5626" width="10" style="363" customWidth="1"/>
    <col min="5627" max="5627" width="10.28515625" style="363" customWidth="1"/>
    <col min="5628" max="5628" width="11.28515625" style="363" customWidth="1"/>
    <col min="5629" max="5629" width="11.5703125" style="363" customWidth="1"/>
    <col min="5630" max="5630" width="9.85546875" style="363" customWidth="1"/>
    <col min="5631" max="5631" width="10.28515625" style="363" customWidth="1"/>
    <col min="5632" max="5632" width="8.85546875" style="363"/>
    <col min="5633" max="5633" width="12.140625" style="363" bestFit="1" customWidth="1"/>
    <col min="5634" max="5642" width="8.85546875" style="363"/>
    <col min="5643" max="5645" width="9.140625" style="363" customWidth="1"/>
    <col min="5646" max="5874" width="8.85546875" style="363"/>
    <col min="5875" max="5875" width="9.7109375" style="363" customWidth="1"/>
    <col min="5876" max="5876" width="68.5703125" style="363" customWidth="1"/>
    <col min="5877" max="5877" width="10.7109375" style="363" customWidth="1"/>
    <col min="5878" max="5878" width="11.140625" style="363" customWidth="1"/>
    <col min="5879" max="5879" width="0.7109375" style="363" customWidth="1"/>
    <col min="5880" max="5881" width="9.140625" style="363" customWidth="1"/>
    <col min="5882" max="5882" width="10" style="363" customWidth="1"/>
    <col min="5883" max="5883" width="10.28515625" style="363" customWidth="1"/>
    <col min="5884" max="5884" width="11.28515625" style="363" customWidth="1"/>
    <col min="5885" max="5885" width="11.5703125" style="363" customWidth="1"/>
    <col min="5886" max="5886" width="9.85546875" style="363" customWidth="1"/>
    <col min="5887" max="5887" width="10.28515625" style="363" customWidth="1"/>
    <col min="5888" max="5888" width="8.85546875" style="363"/>
    <col min="5889" max="5889" width="12.140625" style="363" bestFit="1" customWidth="1"/>
    <col min="5890" max="5898" width="8.85546875" style="363"/>
    <col min="5899" max="5901" width="9.140625" style="363" customWidth="1"/>
    <col min="5902" max="6130" width="8.85546875" style="363"/>
    <col min="6131" max="6131" width="9.7109375" style="363" customWidth="1"/>
    <col min="6132" max="6132" width="68.5703125" style="363" customWidth="1"/>
    <col min="6133" max="6133" width="10.7109375" style="363" customWidth="1"/>
    <col min="6134" max="6134" width="11.140625" style="363" customWidth="1"/>
    <col min="6135" max="6135" width="0.7109375" style="363" customWidth="1"/>
    <col min="6136" max="6137" width="9.140625" style="363" customWidth="1"/>
    <col min="6138" max="6138" width="10" style="363" customWidth="1"/>
    <col min="6139" max="6139" width="10.28515625" style="363" customWidth="1"/>
    <col min="6140" max="6140" width="11.28515625" style="363" customWidth="1"/>
    <col min="6141" max="6141" width="11.5703125" style="363" customWidth="1"/>
    <col min="6142" max="6142" width="9.85546875" style="363" customWidth="1"/>
    <col min="6143" max="6143" width="10.28515625" style="363" customWidth="1"/>
    <col min="6144" max="6144" width="8.85546875" style="363"/>
    <col min="6145" max="6145" width="12.140625" style="363" bestFit="1" customWidth="1"/>
    <col min="6146" max="6154" width="9.140625" style="363"/>
    <col min="6155" max="6157" width="9.140625" style="363" customWidth="1"/>
    <col min="6158" max="6386" width="8.85546875" style="363"/>
    <col min="6387" max="6387" width="9.7109375" style="363" customWidth="1"/>
    <col min="6388" max="6388" width="68.5703125" style="363" customWidth="1"/>
    <col min="6389" max="6389" width="10.7109375" style="363" customWidth="1"/>
    <col min="6390" max="6390" width="11.140625" style="363" customWidth="1"/>
    <col min="6391" max="6391" width="0.7109375" style="363" customWidth="1"/>
    <col min="6392" max="6393" width="9.140625" style="363" customWidth="1"/>
    <col min="6394" max="6394" width="10" style="363" customWidth="1"/>
    <col min="6395" max="6395" width="10.28515625" style="363" customWidth="1"/>
    <col min="6396" max="6396" width="11.28515625" style="363" customWidth="1"/>
    <col min="6397" max="6397" width="11.5703125" style="363" customWidth="1"/>
    <col min="6398" max="6398" width="9.85546875" style="363" customWidth="1"/>
    <col min="6399" max="6399" width="10.28515625" style="363" customWidth="1"/>
    <col min="6400" max="6400" width="8.85546875" style="363"/>
    <col min="6401" max="6401" width="12.140625" style="363" bestFit="1" customWidth="1"/>
    <col min="6402" max="6410" width="8.85546875" style="363"/>
    <col min="6411" max="6413" width="9.140625" style="363" customWidth="1"/>
    <col min="6414" max="6642" width="8.85546875" style="363"/>
    <col min="6643" max="6643" width="9.7109375" style="363" customWidth="1"/>
    <col min="6644" max="6644" width="68.5703125" style="363" customWidth="1"/>
    <col min="6645" max="6645" width="10.7109375" style="363" customWidth="1"/>
    <col min="6646" max="6646" width="11.140625" style="363" customWidth="1"/>
    <col min="6647" max="6647" width="0.7109375" style="363" customWidth="1"/>
    <col min="6648" max="6649" width="9.140625" style="363" customWidth="1"/>
    <col min="6650" max="6650" width="10" style="363" customWidth="1"/>
    <col min="6651" max="6651" width="10.28515625" style="363" customWidth="1"/>
    <col min="6652" max="6652" width="11.28515625" style="363" customWidth="1"/>
    <col min="6653" max="6653" width="11.5703125" style="363" customWidth="1"/>
    <col min="6654" max="6654" width="9.85546875" style="363" customWidth="1"/>
    <col min="6655" max="6655" width="10.28515625" style="363" customWidth="1"/>
    <col min="6656" max="6656" width="8.85546875" style="363"/>
    <col min="6657" max="6657" width="12.140625" style="363" bestFit="1" customWidth="1"/>
    <col min="6658" max="6666" width="8.85546875" style="363"/>
    <col min="6667" max="6669" width="9.140625" style="363" customWidth="1"/>
    <col min="6670" max="6898" width="8.85546875" style="363"/>
    <col min="6899" max="6899" width="9.7109375" style="363" customWidth="1"/>
    <col min="6900" max="6900" width="68.5703125" style="363" customWidth="1"/>
    <col min="6901" max="6901" width="10.7109375" style="363" customWidth="1"/>
    <col min="6902" max="6902" width="11.140625" style="363" customWidth="1"/>
    <col min="6903" max="6903" width="0.7109375" style="363" customWidth="1"/>
    <col min="6904" max="6905" width="9.140625" style="363" customWidth="1"/>
    <col min="6906" max="6906" width="10" style="363" customWidth="1"/>
    <col min="6907" max="6907" width="10.28515625" style="363" customWidth="1"/>
    <col min="6908" max="6908" width="11.28515625" style="363" customWidth="1"/>
    <col min="6909" max="6909" width="11.5703125" style="363" customWidth="1"/>
    <col min="6910" max="6910" width="9.85546875" style="363" customWidth="1"/>
    <col min="6911" max="6911" width="10.28515625" style="363" customWidth="1"/>
    <col min="6912" max="6912" width="8.85546875" style="363"/>
    <col min="6913" max="6913" width="12.140625" style="363" bestFit="1" customWidth="1"/>
    <col min="6914" max="6922" width="8.85546875" style="363"/>
    <col min="6923" max="6925" width="9.140625" style="363" customWidth="1"/>
    <col min="6926" max="7154" width="8.85546875" style="363"/>
    <col min="7155" max="7155" width="9.7109375" style="363" customWidth="1"/>
    <col min="7156" max="7156" width="68.5703125" style="363" customWidth="1"/>
    <col min="7157" max="7157" width="10.7109375" style="363" customWidth="1"/>
    <col min="7158" max="7158" width="11.140625" style="363" customWidth="1"/>
    <col min="7159" max="7159" width="0.7109375" style="363" customWidth="1"/>
    <col min="7160" max="7161" width="9.140625" style="363" customWidth="1"/>
    <col min="7162" max="7162" width="10" style="363" customWidth="1"/>
    <col min="7163" max="7163" width="10.28515625" style="363" customWidth="1"/>
    <col min="7164" max="7164" width="11.28515625" style="363" customWidth="1"/>
    <col min="7165" max="7165" width="11.5703125" style="363" customWidth="1"/>
    <col min="7166" max="7166" width="9.85546875" style="363" customWidth="1"/>
    <col min="7167" max="7167" width="10.28515625" style="363" customWidth="1"/>
    <col min="7168" max="7168" width="8.85546875" style="363"/>
    <col min="7169" max="7169" width="12.140625" style="363" bestFit="1" customWidth="1"/>
    <col min="7170" max="7178" width="9.140625" style="363"/>
    <col min="7179" max="7181" width="9.140625" style="363" customWidth="1"/>
    <col min="7182" max="7410" width="8.85546875" style="363"/>
    <col min="7411" max="7411" width="9.7109375" style="363" customWidth="1"/>
    <col min="7412" max="7412" width="68.5703125" style="363" customWidth="1"/>
    <col min="7413" max="7413" width="10.7109375" style="363" customWidth="1"/>
    <col min="7414" max="7414" width="11.140625" style="363" customWidth="1"/>
    <col min="7415" max="7415" width="0.7109375" style="363" customWidth="1"/>
    <col min="7416" max="7417" width="9.140625" style="363" customWidth="1"/>
    <col min="7418" max="7418" width="10" style="363" customWidth="1"/>
    <col min="7419" max="7419" width="10.28515625" style="363" customWidth="1"/>
    <col min="7420" max="7420" width="11.28515625" style="363" customWidth="1"/>
    <col min="7421" max="7421" width="11.5703125" style="363" customWidth="1"/>
    <col min="7422" max="7422" width="9.85546875" style="363" customWidth="1"/>
    <col min="7423" max="7423" width="10.28515625" style="363" customWidth="1"/>
    <col min="7424" max="7424" width="8.85546875" style="363"/>
    <col min="7425" max="7425" width="12.140625" style="363" bestFit="1" customWidth="1"/>
    <col min="7426" max="7434" width="8.85546875" style="363"/>
    <col min="7435" max="7437" width="9.140625" style="363" customWidth="1"/>
    <col min="7438" max="7666" width="8.85546875" style="363"/>
    <col min="7667" max="7667" width="9.7109375" style="363" customWidth="1"/>
    <col min="7668" max="7668" width="68.5703125" style="363" customWidth="1"/>
    <col min="7669" max="7669" width="10.7109375" style="363" customWidth="1"/>
    <col min="7670" max="7670" width="11.140625" style="363" customWidth="1"/>
    <col min="7671" max="7671" width="0.7109375" style="363" customWidth="1"/>
    <col min="7672" max="7673" width="9.140625" style="363" customWidth="1"/>
    <col min="7674" max="7674" width="10" style="363" customWidth="1"/>
    <col min="7675" max="7675" width="10.28515625" style="363" customWidth="1"/>
    <col min="7676" max="7676" width="11.28515625" style="363" customWidth="1"/>
    <col min="7677" max="7677" width="11.5703125" style="363" customWidth="1"/>
    <col min="7678" max="7678" width="9.85546875" style="363" customWidth="1"/>
    <col min="7679" max="7679" width="10.28515625" style="363" customWidth="1"/>
    <col min="7680" max="7680" width="8.85546875" style="363"/>
    <col min="7681" max="7681" width="12.140625" style="363" bestFit="1" customWidth="1"/>
    <col min="7682" max="7690" width="8.85546875" style="363"/>
    <col min="7691" max="7693" width="9.140625" style="363" customWidth="1"/>
    <col min="7694" max="7922" width="8.85546875" style="363"/>
    <col min="7923" max="7923" width="9.7109375" style="363" customWidth="1"/>
    <col min="7924" max="7924" width="68.5703125" style="363" customWidth="1"/>
    <col min="7925" max="7925" width="10.7109375" style="363" customWidth="1"/>
    <col min="7926" max="7926" width="11.140625" style="363" customWidth="1"/>
    <col min="7927" max="7927" width="0.7109375" style="363" customWidth="1"/>
    <col min="7928" max="7929" width="9.140625" style="363" customWidth="1"/>
    <col min="7930" max="7930" width="10" style="363" customWidth="1"/>
    <col min="7931" max="7931" width="10.28515625" style="363" customWidth="1"/>
    <col min="7932" max="7932" width="11.28515625" style="363" customWidth="1"/>
    <col min="7933" max="7933" width="11.5703125" style="363" customWidth="1"/>
    <col min="7934" max="7934" width="9.85546875" style="363" customWidth="1"/>
    <col min="7935" max="7935" width="10.28515625" style="363" customWidth="1"/>
    <col min="7936" max="7936" width="8.85546875" style="363"/>
    <col min="7937" max="7937" width="12.140625" style="363" bestFit="1" customWidth="1"/>
    <col min="7938" max="7946" width="8.85546875" style="363"/>
    <col min="7947" max="7949" width="9.140625" style="363" customWidth="1"/>
    <col min="7950" max="8178" width="8.85546875" style="363"/>
    <col min="8179" max="8179" width="9.7109375" style="363" customWidth="1"/>
    <col min="8180" max="8180" width="68.5703125" style="363" customWidth="1"/>
    <col min="8181" max="8181" width="10.7109375" style="363" customWidth="1"/>
    <col min="8182" max="8182" width="11.140625" style="363" customWidth="1"/>
    <col min="8183" max="8183" width="0.7109375" style="363" customWidth="1"/>
    <col min="8184" max="8185" width="9.140625" style="363" customWidth="1"/>
    <col min="8186" max="8186" width="10" style="363" customWidth="1"/>
    <col min="8187" max="8187" width="10.28515625" style="363" customWidth="1"/>
    <col min="8188" max="8188" width="11.28515625" style="363" customWidth="1"/>
    <col min="8189" max="8189" width="11.5703125" style="363" customWidth="1"/>
    <col min="8190" max="8190" width="9.85546875" style="363" customWidth="1"/>
    <col min="8191" max="8191" width="10.28515625" style="363" customWidth="1"/>
    <col min="8192" max="8192" width="8.85546875" style="363"/>
    <col min="8193" max="8193" width="12.140625" style="363" bestFit="1" customWidth="1"/>
    <col min="8194" max="8202" width="9.140625" style="363"/>
    <col min="8203" max="8205" width="9.140625" style="363" customWidth="1"/>
    <col min="8206" max="8434" width="8.85546875" style="363"/>
    <col min="8435" max="8435" width="9.7109375" style="363" customWidth="1"/>
    <col min="8436" max="8436" width="68.5703125" style="363" customWidth="1"/>
    <col min="8437" max="8437" width="10.7109375" style="363" customWidth="1"/>
    <col min="8438" max="8438" width="11.140625" style="363" customWidth="1"/>
    <col min="8439" max="8439" width="0.7109375" style="363" customWidth="1"/>
    <col min="8440" max="8441" width="9.140625" style="363" customWidth="1"/>
    <col min="8442" max="8442" width="10" style="363" customWidth="1"/>
    <col min="8443" max="8443" width="10.28515625" style="363" customWidth="1"/>
    <col min="8444" max="8444" width="11.28515625" style="363" customWidth="1"/>
    <col min="8445" max="8445" width="11.5703125" style="363" customWidth="1"/>
    <col min="8446" max="8446" width="9.85546875" style="363" customWidth="1"/>
    <col min="8447" max="8447" width="10.28515625" style="363" customWidth="1"/>
    <col min="8448" max="8448" width="8.85546875" style="363"/>
    <col min="8449" max="8449" width="12.140625" style="363" bestFit="1" customWidth="1"/>
    <col min="8450" max="8458" width="8.85546875" style="363"/>
    <col min="8459" max="8461" width="9.140625" style="363" customWidth="1"/>
    <col min="8462" max="8690" width="8.85546875" style="363"/>
    <col min="8691" max="8691" width="9.7109375" style="363" customWidth="1"/>
    <col min="8692" max="8692" width="68.5703125" style="363" customWidth="1"/>
    <col min="8693" max="8693" width="10.7109375" style="363" customWidth="1"/>
    <col min="8694" max="8694" width="11.140625" style="363" customWidth="1"/>
    <col min="8695" max="8695" width="0.7109375" style="363" customWidth="1"/>
    <col min="8696" max="8697" width="9.140625" style="363" customWidth="1"/>
    <col min="8698" max="8698" width="10" style="363" customWidth="1"/>
    <col min="8699" max="8699" width="10.28515625" style="363" customWidth="1"/>
    <col min="8700" max="8700" width="11.28515625" style="363" customWidth="1"/>
    <col min="8701" max="8701" width="11.5703125" style="363" customWidth="1"/>
    <col min="8702" max="8702" width="9.85546875" style="363" customWidth="1"/>
    <col min="8703" max="8703" width="10.28515625" style="363" customWidth="1"/>
    <col min="8704" max="8704" width="8.85546875" style="363"/>
    <col min="8705" max="8705" width="12.140625" style="363" bestFit="1" customWidth="1"/>
    <col min="8706" max="8714" width="8.85546875" style="363"/>
    <col min="8715" max="8717" width="9.140625" style="363" customWidth="1"/>
    <col min="8718" max="8946" width="8.85546875" style="363"/>
    <col min="8947" max="8947" width="9.7109375" style="363" customWidth="1"/>
    <col min="8948" max="8948" width="68.5703125" style="363" customWidth="1"/>
    <col min="8949" max="8949" width="10.7109375" style="363" customWidth="1"/>
    <col min="8950" max="8950" width="11.140625" style="363" customWidth="1"/>
    <col min="8951" max="8951" width="0.7109375" style="363" customWidth="1"/>
    <col min="8952" max="8953" width="9.140625" style="363" customWidth="1"/>
    <col min="8954" max="8954" width="10" style="363" customWidth="1"/>
    <col min="8955" max="8955" width="10.28515625" style="363" customWidth="1"/>
    <col min="8956" max="8956" width="11.28515625" style="363" customWidth="1"/>
    <col min="8957" max="8957" width="11.5703125" style="363" customWidth="1"/>
    <col min="8958" max="8958" width="9.85546875" style="363" customWidth="1"/>
    <col min="8959" max="8959" width="10.28515625" style="363" customWidth="1"/>
    <col min="8960" max="8960" width="8.85546875" style="363"/>
    <col min="8961" max="8961" width="12.140625" style="363" bestFit="1" customWidth="1"/>
    <col min="8962" max="8970" width="8.85546875" style="363"/>
    <col min="8971" max="8973" width="9.140625" style="363" customWidth="1"/>
    <col min="8974" max="9202" width="8.85546875" style="363"/>
    <col min="9203" max="9203" width="9.7109375" style="363" customWidth="1"/>
    <col min="9204" max="9204" width="68.5703125" style="363" customWidth="1"/>
    <col min="9205" max="9205" width="10.7109375" style="363" customWidth="1"/>
    <col min="9206" max="9206" width="11.140625" style="363" customWidth="1"/>
    <col min="9207" max="9207" width="0.7109375" style="363" customWidth="1"/>
    <col min="9208" max="9209" width="9.140625" style="363" customWidth="1"/>
    <col min="9210" max="9210" width="10" style="363" customWidth="1"/>
    <col min="9211" max="9211" width="10.28515625" style="363" customWidth="1"/>
    <col min="9212" max="9212" width="11.28515625" style="363" customWidth="1"/>
    <col min="9213" max="9213" width="11.5703125" style="363" customWidth="1"/>
    <col min="9214" max="9214" width="9.85546875" style="363" customWidth="1"/>
    <col min="9215" max="9215" width="10.28515625" style="363" customWidth="1"/>
    <col min="9216" max="9216" width="8.85546875" style="363"/>
    <col min="9217" max="9217" width="12.140625" style="363" bestFit="1" customWidth="1"/>
    <col min="9218" max="9226" width="9.140625" style="363"/>
    <col min="9227" max="9229" width="9.140625" style="363" customWidth="1"/>
    <col min="9230" max="9458" width="8.85546875" style="363"/>
    <col min="9459" max="9459" width="9.7109375" style="363" customWidth="1"/>
    <col min="9460" max="9460" width="68.5703125" style="363" customWidth="1"/>
    <col min="9461" max="9461" width="10.7109375" style="363" customWidth="1"/>
    <col min="9462" max="9462" width="11.140625" style="363" customWidth="1"/>
    <col min="9463" max="9463" width="0.7109375" style="363" customWidth="1"/>
    <col min="9464" max="9465" width="9.140625" style="363" customWidth="1"/>
    <col min="9466" max="9466" width="10" style="363" customWidth="1"/>
    <col min="9467" max="9467" width="10.28515625" style="363" customWidth="1"/>
    <col min="9468" max="9468" width="11.28515625" style="363" customWidth="1"/>
    <col min="9469" max="9469" width="11.5703125" style="363" customWidth="1"/>
    <col min="9470" max="9470" width="9.85546875" style="363" customWidth="1"/>
    <col min="9471" max="9471" width="10.28515625" style="363" customWidth="1"/>
    <col min="9472" max="9472" width="8.85546875" style="363"/>
    <col min="9473" max="9473" width="12.140625" style="363" bestFit="1" customWidth="1"/>
    <col min="9474" max="9482" width="8.85546875" style="363"/>
    <col min="9483" max="9485" width="9.140625" style="363" customWidth="1"/>
    <col min="9486" max="9714" width="8.85546875" style="363"/>
    <col min="9715" max="9715" width="9.7109375" style="363" customWidth="1"/>
    <col min="9716" max="9716" width="68.5703125" style="363" customWidth="1"/>
    <col min="9717" max="9717" width="10.7109375" style="363" customWidth="1"/>
    <col min="9718" max="9718" width="11.140625" style="363" customWidth="1"/>
    <col min="9719" max="9719" width="0.7109375" style="363" customWidth="1"/>
    <col min="9720" max="9721" width="9.140625" style="363" customWidth="1"/>
    <col min="9722" max="9722" width="10" style="363" customWidth="1"/>
    <col min="9723" max="9723" width="10.28515625" style="363" customWidth="1"/>
    <col min="9724" max="9724" width="11.28515625" style="363" customWidth="1"/>
    <col min="9725" max="9725" width="11.5703125" style="363" customWidth="1"/>
    <col min="9726" max="9726" width="9.85546875" style="363" customWidth="1"/>
    <col min="9727" max="9727" width="10.28515625" style="363" customWidth="1"/>
    <col min="9728" max="9728" width="8.85546875" style="363"/>
    <col min="9729" max="9729" width="12.140625" style="363" bestFit="1" customWidth="1"/>
    <col min="9730" max="9738" width="8.85546875" style="363"/>
    <col min="9739" max="9741" width="9.140625" style="363" customWidth="1"/>
    <col min="9742" max="9970" width="8.85546875" style="363"/>
    <col min="9971" max="9971" width="9.7109375" style="363" customWidth="1"/>
    <col min="9972" max="9972" width="68.5703125" style="363" customWidth="1"/>
    <col min="9973" max="9973" width="10.7109375" style="363" customWidth="1"/>
    <col min="9974" max="9974" width="11.140625" style="363" customWidth="1"/>
    <col min="9975" max="9975" width="0.7109375" style="363" customWidth="1"/>
    <col min="9976" max="9977" width="9.140625" style="363" customWidth="1"/>
    <col min="9978" max="9978" width="10" style="363" customWidth="1"/>
    <col min="9979" max="9979" width="10.28515625" style="363" customWidth="1"/>
    <col min="9980" max="9980" width="11.28515625" style="363" customWidth="1"/>
    <col min="9981" max="9981" width="11.5703125" style="363" customWidth="1"/>
    <col min="9982" max="9982" width="9.85546875" style="363" customWidth="1"/>
    <col min="9983" max="9983" width="10.28515625" style="363" customWidth="1"/>
    <col min="9984" max="9984" width="8.85546875" style="363"/>
    <col min="9985" max="9985" width="12.140625" style="363" bestFit="1" customWidth="1"/>
    <col min="9986" max="9994" width="8.85546875" style="363"/>
    <col min="9995" max="9997" width="9.140625" style="363" customWidth="1"/>
    <col min="9998" max="10226" width="8.85546875" style="363"/>
    <col min="10227" max="10227" width="9.7109375" style="363" customWidth="1"/>
    <col min="10228" max="10228" width="68.5703125" style="363" customWidth="1"/>
    <col min="10229" max="10229" width="10.7109375" style="363" customWidth="1"/>
    <col min="10230" max="10230" width="11.140625" style="363" customWidth="1"/>
    <col min="10231" max="10231" width="0.7109375" style="363" customWidth="1"/>
    <col min="10232" max="10233" width="9.140625" style="363" customWidth="1"/>
    <col min="10234" max="10234" width="10" style="363" customWidth="1"/>
    <col min="10235" max="10235" width="10.28515625" style="363" customWidth="1"/>
    <col min="10236" max="10236" width="11.28515625" style="363" customWidth="1"/>
    <col min="10237" max="10237" width="11.5703125" style="363" customWidth="1"/>
    <col min="10238" max="10238" width="9.85546875" style="363" customWidth="1"/>
    <col min="10239" max="10239" width="10.28515625" style="363" customWidth="1"/>
    <col min="10240" max="10240" width="8.85546875" style="363"/>
    <col min="10241" max="10241" width="12.140625" style="363" bestFit="1" customWidth="1"/>
    <col min="10242" max="10250" width="9.140625" style="363"/>
    <col min="10251" max="10253" width="9.140625" style="363" customWidth="1"/>
    <col min="10254" max="10482" width="8.85546875" style="363"/>
    <col min="10483" max="10483" width="9.7109375" style="363" customWidth="1"/>
    <col min="10484" max="10484" width="68.5703125" style="363" customWidth="1"/>
    <col min="10485" max="10485" width="10.7109375" style="363" customWidth="1"/>
    <col min="10486" max="10486" width="11.140625" style="363" customWidth="1"/>
    <col min="10487" max="10487" width="0.7109375" style="363" customWidth="1"/>
    <col min="10488" max="10489" width="9.140625" style="363" customWidth="1"/>
    <col min="10490" max="10490" width="10" style="363" customWidth="1"/>
    <col min="10491" max="10491" width="10.28515625" style="363" customWidth="1"/>
    <col min="10492" max="10492" width="11.28515625" style="363" customWidth="1"/>
    <col min="10493" max="10493" width="11.5703125" style="363" customWidth="1"/>
    <col min="10494" max="10494" width="9.85546875" style="363" customWidth="1"/>
    <col min="10495" max="10495" width="10.28515625" style="363" customWidth="1"/>
    <col min="10496" max="10496" width="8.85546875" style="363"/>
    <col min="10497" max="10497" width="12.140625" style="363" bestFit="1" customWidth="1"/>
    <col min="10498" max="10506" width="8.85546875" style="363"/>
    <col min="10507" max="10509" width="9.140625" style="363" customWidth="1"/>
    <col min="10510" max="10738" width="8.85546875" style="363"/>
    <col min="10739" max="10739" width="9.7109375" style="363" customWidth="1"/>
    <col min="10740" max="10740" width="68.5703125" style="363" customWidth="1"/>
    <col min="10741" max="10741" width="10.7109375" style="363" customWidth="1"/>
    <col min="10742" max="10742" width="11.140625" style="363" customWidth="1"/>
    <col min="10743" max="10743" width="0.7109375" style="363" customWidth="1"/>
    <col min="10744" max="10745" width="9.140625" style="363" customWidth="1"/>
    <col min="10746" max="10746" width="10" style="363" customWidth="1"/>
    <col min="10747" max="10747" width="10.28515625" style="363" customWidth="1"/>
    <col min="10748" max="10748" width="11.28515625" style="363" customWidth="1"/>
    <col min="10749" max="10749" width="11.5703125" style="363" customWidth="1"/>
    <col min="10750" max="10750" width="9.85546875" style="363" customWidth="1"/>
    <col min="10751" max="10751" width="10.28515625" style="363" customWidth="1"/>
    <col min="10752" max="10752" width="8.85546875" style="363"/>
    <col min="10753" max="10753" width="12.140625" style="363" bestFit="1" customWidth="1"/>
    <col min="10754" max="10762" width="8.85546875" style="363"/>
    <col min="10763" max="10765" width="9.140625" style="363" customWidth="1"/>
    <col min="10766" max="10994" width="8.85546875" style="363"/>
    <col min="10995" max="10995" width="9.7109375" style="363" customWidth="1"/>
    <col min="10996" max="10996" width="68.5703125" style="363" customWidth="1"/>
    <col min="10997" max="10997" width="10.7109375" style="363" customWidth="1"/>
    <col min="10998" max="10998" width="11.140625" style="363" customWidth="1"/>
    <col min="10999" max="10999" width="0.7109375" style="363" customWidth="1"/>
    <col min="11000" max="11001" width="9.140625" style="363" customWidth="1"/>
    <col min="11002" max="11002" width="10" style="363" customWidth="1"/>
    <col min="11003" max="11003" width="10.28515625" style="363" customWidth="1"/>
    <col min="11004" max="11004" width="11.28515625" style="363" customWidth="1"/>
    <col min="11005" max="11005" width="11.5703125" style="363" customWidth="1"/>
    <col min="11006" max="11006" width="9.85546875" style="363" customWidth="1"/>
    <col min="11007" max="11007" width="10.28515625" style="363" customWidth="1"/>
    <col min="11008" max="11008" width="8.85546875" style="363"/>
    <col min="11009" max="11009" width="12.140625" style="363" bestFit="1" customWidth="1"/>
    <col min="11010" max="11018" width="8.85546875" style="363"/>
    <col min="11019" max="11021" width="9.140625" style="363" customWidth="1"/>
    <col min="11022" max="11250" width="8.85546875" style="363"/>
    <col min="11251" max="11251" width="9.7109375" style="363" customWidth="1"/>
    <col min="11252" max="11252" width="68.5703125" style="363" customWidth="1"/>
    <col min="11253" max="11253" width="10.7109375" style="363" customWidth="1"/>
    <col min="11254" max="11254" width="11.140625" style="363" customWidth="1"/>
    <col min="11255" max="11255" width="0.7109375" style="363" customWidth="1"/>
    <col min="11256" max="11257" width="9.140625" style="363" customWidth="1"/>
    <col min="11258" max="11258" width="10" style="363" customWidth="1"/>
    <col min="11259" max="11259" width="10.28515625" style="363" customWidth="1"/>
    <col min="11260" max="11260" width="11.28515625" style="363" customWidth="1"/>
    <col min="11261" max="11261" width="11.5703125" style="363" customWidth="1"/>
    <col min="11262" max="11262" width="9.85546875" style="363" customWidth="1"/>
    <col min="11263" max="11263" width="10.28515625" style="363" customWidth="1"/>
    <col min="11264" max="11264" width="8.85546875" style="363"/>
    <col min="11265" max="11265" width="12.140625" style="363" bestFit="1" customWidth="1"/>
    <col min="11266" max="11274" width="9.140625" style="363"/>
    <col min="11275" max="11277" width="9.140625" style="363" customWidth="1"/>
    <col min="11278" max="11506" width="8.85546875" style="363"/>
    <col min="11507" max="11507" width="9.7109375" style="363" customWidth="1"/>
    <col min="11508" max="11508" width="68.5703125" style="363" customWidth="1"/>
    <col min="11509" max="11509" width="10.7109375" style="363" customWidth="1"/>
    <col min="11510" max="11510" width="11.140625" style="363" customWidth="1"/>
    <col min="11511" max="11511" width="0.7109375" style="363" customWidth="1"/>
    <col min="11512" max="11513" width="9.140625" style="363" customWidth="1"/>
    <col min="11514" max="11514" width="10" style="363" customWidth="1"/>
    <col min="11515" max="11515" width="10.28515625" style="363" customWidth="1"/>
    <col min="11516" max="11516" width="11.28515625" style="363" customWidth="1"/>
    <col min="11517" max="11517" width="11.5703125" style="363" customWidth="1"/>
    <col min="11518" max="11518" width="9.85546875" style="363" customWidth="1"/>
    <col min="11519" max="11519" width="10.28515625" style="363" customWidth="1"/>
    <col min="11520" max="11520" width="8.85546875" style="363"/>
    <col min="11521" max="11521" width="12.140625" style="363" bestFit="1" customWidth="1"/>
    <col min="11522" max="11530" width="8.85546875" style="363"/>
    <col min="11531" max="11533" width="9.140625" style="363" customWidth="1"/>
    <col min="11534" max="11762" width="8.85546875" style="363"/>
    <col min="11763" max="11763" width="9.7109375" style="363" customWidth="1"/>
    <col min="11764" max="11764" width="68.5703125" style="363" customWidth="1"/>
    <col min="11765" max="11765" width="10.7109375" style="363" customWidth="1"/>
    <col min="11766" max="11766" width="11.140625" style="363" customWidth="1"/>
    <col min="11767" max="11767" width="0.7109375" style="363" customWidth="1"/>
    <col min="11768" max="11769" width="9.140625" style="363" customWidth="1"/>
    <col min="11770" max="11770" width="10" style="363" customWidth="1"/>
    <col min="11771" max="11771" width="10.28515625" style="363" customWidth="1"/>
    <col min="11772" max="11772" width="11.28515625" style="363" customWidth="1"/>
    <col min="11773" max="11773" width="11.5703125" style="363" customWidth="1"/>
    <col min="11774" max="11774" width="9.85546875" style="363" customWidth="1"/>
    <col min="11775" max="11775" width="10.28515625" style="363" customWidth="1"/>
    <col min="11776" max="11776" width="8.85546875" style="363"/>
    <col min="11777" max="11777" width="12.140625" style="363" bestFit="1" customWidth="1"/>
    <col min="11778" max="11786" width="8.85546875" style="363"/>
    <col min="11787" max="11789" width="9.140625" style="363" customWidth="1"/>
    <col min="11790" max="12018" width="8.85546875" style="363"/>
    <col min="12019" max="12019" width="9.7109375" style="363" customWidth="1"/>
    <col min="12020" max="12020" width="68.5703125" style="363" customWidth="1"/>
    <col min="12021" max="12021" width="10.7109375" style="363" customWidth="1"/>
    <col min="12022" max="12022" width="11.140625" style="363" customWidth="1"/>
    <col min="12023" max="12023" width="0.7109375" style="363" customWidth="1"/>
    <col min="12024" max="12025" width="9.140625" style="363" customWidth="1"/>
    <col min="12026" max="12026" width="10" style="363" customWidth="1"/>
    <col min="12027" max="12027" width="10.28515625" style="363" customWidth="1"/>
    <col min="12028" max="12028" width="11.28515625" style="363" customWidth="1"/>
    <col min="12029" max="12029" width="11.5703125" style="363" customWidth="1"/>
    <col min="12030" max="12030" width="9.85546875" style="363" customWidth="1"/>
    <col min="12031" max="12031" width="10.28515625" style="363" customWidth="1"/>
    <col min="12032" max="12032" width="8.85546875" style="363"/>
    <col min="12033" max="12033" width="12.140625" style="363" bestFit="1" customWidth="1"/>
    <col min="12034" max="12042" width="8.85546875" style="363"/>
    <col min="12043" max="12045" width="9.140625" style="363" customWidth="1"/>
    <col min="12046" max="12274" width="8.85546875" style="363"/>
    <col min="12275" max="12275" width="9.7109375" style="363" customWidth="1"/>
    <col min="12276" max="12276" width="68.5703125" style="363" customWidth="1"/>
    <col min="12277" max="12277" width="10.7109375" style="363" customWidth="1"/>
    <col min="12278" max="12278" width="11.140625" style="363" customWidth="1"/>
    <col min="12279" max="12279" width="0.7109375" style="363" customWidth="1"/>
    <col min="12280" max="12281" width="9.140625" style="363" customWidth="1"/>
    <col min="12282" max="12282" width="10" style="363" customWidth="1"/>
    <col min="12283" max="12283" width="10.28515625" style="363" customWidth="1"/>
    <col min="12284" max="12284" width="11.28515625" style="363" customWidth="1"/>
    <col min="12285" max="12285" width="11.5703125" style="363" customWidth="1"/>
    <col min="12286" max="12286" width="9.85546875" style="363" customWidth="1"/>
    <col min="12287" max="12287" width="10.28515625" style="363" customWidth="1"/>
    <col min="12288" max="12288" width="8.85546875" style="363"/>
    <col min="12289" max="12289" width="12.140625" style="363" bestFit="1" customWidth="1"/>
    <col min="12290" max="12298" width="9.140625" style="363"/>
    <col min="12299" max="12301" width="9.140625" style="363" customWidth="1"/>
    <col min="12302" max="12530" width="8.85546875" style="363"/>
    <col min="12531" max="12531" width="9.7109375" style="363" customWidth="1"/>
    <col min="12532" max="12532" width="68.5703125" style="363" customWidth="1"/>
    <col min="12533" max="12533" width="10.7109375" style="363" customWidth="1"/>
    <col min="12534" max="12534" width="11.140625" style="363" customWidth="1"/>
    <col min="12535" max="12535" width="0.7109375" style="363" customWidth="1"/>
    <col min="12536" max="12537" width="9.140625" style="363" customWidth="1"/>
    <col min="12538" max="12538" width="10" style="363" customWidth="1"/>
    <col min="12539" max="12539" width="10.28515625" style="363" customWidth="1"/>
    <col min="12540" max="12540" width="11.28515625" style="363" customWidth="1"/>
    <col min="12541" max="12541" width="11.5703125" style="363" customWidth="1"/>
    <col min="12542" max="12542" width="9.85546875" style="363" customWidth="1"/>
    <col min="12543" max="12543" width="10.28515625" style="363" customWidth="1"/>
    <col min="12544" max="12544" width="8.85546875" style="363"/>
    <col min="12545" max="12545" width="12.140625" style="363" bestFit="1" customWidth="1"/>
    <col min="12546" max="12554" width="8.85546875" style="363"/>
    <col min="12555" max="12557" width="9.140625" style="363" customWidth="1"/>
    <col min="12558" max="12786" width="8.85546875" style="363"/>
    <col min="12787" max="12787" width="9.7109375" style="363" customWidth="1"/>
    <col min="12788" max="12788" width="68.5703125" style="363" customWidth="1"/>
    <col min="12789" max="12789" width="10.7109375" style="363" customWidth="1"/>
    <col min="12790" max="12790" width="11.140625" style="363" customWidth="1"/>
    <col min="12791" max="12791" width="0.7109375" style="363" customWidth="1"/>
    <col min="12792" max="12793" width="9.140625" style="363" customWidth="1"/>
    <col min="12794" max="12794" width="10" style="363" customWidth="1"/>
    <col min="12795" max="12795" width="10.28515625" style="363" customWidth="1"/>
    <col min="12796" max="12796" width="11.28515625" style="363" customWidth="1"/>
    <col min="12797" max="12797" width="11.5703125" style="363" customWidth="1"/>
    <col min="12798" max="12798" width="9.85546875" style="363" customWidth="1"/>
    <col min="12799" max="12799" width="10.28515625" style="363" customWidth="1"/>
    <col min="12800" max="12800" width="8.85546875" style="363"/>
    <col min="12801" max="12801" width="12.140625" style="363" bestFit="1" customWidth="1"/>
    <col min="12802" max="12810" width="8.85546875" style="363"/>
    <col min="12811" max="12813" width="9.140625" style="363" customWidth="1"/>
    <col min="12814" max="13042" width="8.85546875" style="363"/>
    <col min="13043" max="13043" width="9.7109375" style="363" customWidth="1"/>
    <col min="13044" max="13044" width="68.5703125" style="363" customWidth="1"/>
    <col min="13045" max="13045" width="10.7109375" style="363" customWidth="1"/>
    <col min="13046" max="13046" width="11.140625" style="363" customWidth="1"/>
    <col min="13047" max="13047" width="0.7109375" style="363" customWidth="1"/>
    <col min="13048" max="13049" width="9.140625" style="363" customWidth="1"/>
    <col min="13050" max="13050" width="10" style="363" customWidth="1"/>
    <col min="13051" max="13051" width="10.28515625" style="363" customWidth="1"/>
    <col min="13052" max="13052" width="11.28515625" style="363" customWidth="1"/>
    <col min="13053" max="13053" width="11.5703125" style="363" customWidth="1"/>
    <col min="13054" max="13054" width="9.85546875" style="363" customWidth="1"/>
    <col min="13055" max="13055" width="10.28515625" style="363" customWidth="1"/>
    <col min="13056" max="13056" width="8.85546875" style="363"/>
    <col min="13057" max="13057" width="12.140625" style="363" bestFit="1" customWidth="1"/>
    <col min="13058" max="13066" width="8.85546875" style="363"/>
    <col min="13067" max="13069" width="9.140625" style="363" customWidth="1"/>
    <col min="13070" max="13298" width="8.85546875" style="363"/>
    <col min="13299" max="13299" width="9.7109375" style="363" customWidth="1"/>
    <col min="13300" max="13300" width="68.5703125" style="363" customWidth="1"/>
    <col min="13301" max="13301" width="10.7109375" style="363" customWidth="1"/>
    <col min="13302" max="13302" width="11.140625" style="363" customWidth="1"/>
    <col min="13303" max="13303" width="0.7109375" style="363" customWidth="1"/>
    <col min="13304" max="13305" width="9.140625" style="363" customWidth="1"/>
    <col min="13306" max="13306" width="10" style="363" customWidth="1"/>
    <col min="13307" max="13307" width="10.28515625" style="363" customWidth="1"/>
    <col min="13308" max="13308" width="11.28515625" style="363" customWidth="1"/>
    <col min="13309" max="13309" width="11.5703125" style="363" customWidth="1"/>
    <col min="13310" max="13310" width="9.85546875" style="363" customWidth="1"/>
    <col min="13311" max="13311" width="10.28515625" style="363" customWidth="1"/>
    <col min="13312" max="13312" width="8.85546875" style="363"/>
    <col min="13313" max="13313" width="12.140625" style="363" bestFit="1" customWidth="1"/>
    <col min="13314" max="13322" width="9.140625" style="363"/>
    <col min="13323" max="13325" width="9.140625" style="363" customWidth="1"/>
    <col min="13326" max="13554" width="8.85546875" style="363"/>
    <col min="13555" max="13555" width="9.7109375" style="363" customWidth="1"/>
    <col min="13556" max="13556" width="68.5703125" style="363" customWidth="1"/>
    <col min="13557" max="13557" width="10.7109375" style="363" customWidth="1"/>
    <col min="13558" max="13558" width="11.140625" style="363" customWidth="1"/>
    <col min="13559" max="13559" width="0.7109375" style="363" customWidth="1"/>
    <col min="13560" max="13561" width="9.140625" style="363" customWidth="1"/>
    <col min="13562" max="13562" width="10" style="363" customWidth="1"/>
    <col min="13563" max="13563" width="10.28515625" style="363" customWidth="1"/>
    <col min="13564" max="13564" width="11.28515625" style="363" customWidth="1"/>
    <col min="13565" max="13565" width="11.5703125" style="363" customWidth="1"/>
    <col min="13566" max="13566" width="9.85546875" style="363" customWidth="1"/>
    <col min="13567" max="13567" width="10.28515625" style="363" customWidth="1"/>
    <col min="13568" max="13568" width="8.85546875" style="363"/>
    <col min="13569" max="13569" width="12.140625" style="363" bestFit="1" customWidth="1"/>
    <col min="13570" max="13578" width="8.85546875" style="363"/>
    <col min="13579" max="13581" width="9.140625" style="363" customWidth="1"/>
    <col min="13582" max="13810" width="8.85546875" style="363"/>
    <col min="13811" max="13811" width="9.7109375" style="363" customWidth="1"/>
    <col min="13812" max="13812" width="68.5703125" style="363" customWidth="1"/>
    <col min="13813" max="13813" width="10.7109375" style="363" customWidth="1"/>
    <col min="13814" max="13814" width="11.140625" style="363" customWidth="1"/>
    <col min="13815" max="13815" width="0.7109375" style="363" customWidth="1"/>
    <col min="13816" max="13817" width="9.140625" style="363" customWidth="1"/>
    <col min="13818" max="13818" width="10" style="363" customWidth="1"/>
    <col min="13819" max="13819" width="10.28515625" style="363" customWidth="1"/>
    <col min="13820" max="13820" width="11.28515625" style="363" customWidth="1"/>
    <col min="13821" max="13821" width="11.5703125" style="363" customWidth="1"/>
    <col min="13822" max="13822" width="9.85546875" style="363" customWidth="1"/>
    <col min="13823" max="13823" width="10.28515625" style="363" customWidth="1"/>
    <col min="13824" max="13824" width="8.85546875" style="363"/>
    <col min="13825" max="13825" width="12.140625" style="363" bestFit="1" customWidth="1"/>
    <col min="13826" max="13834" width="8.85546875" style="363"/>
    <col min="13835" max="13837" width="9.140625" style="363" customWidth="1"/>
    <col min="13838" max="14066" width="8.85546875" style="363"/>
    <col min="14067" max="14067" width="9.7109375" style="363" customWidth="1"/>
    <col min="14068" max="14068" width="68.5703125" style="363" customWidth="1"/>
    <col min="14069" max="14069" width="10.7109375" style="363" customWidth="1"/>
    <col min="14070" max="14070" width="11.140625" style="363" customWidth="1"/>
    <col min="14071" max="14071" width="0.7109375" style="363" customWidth="1"/>
    <col min="14072" max="14073" width="9.140625" style="363" customWidth="1"/>
    <col min="14074" max="14074" width="10" style="363" customWidth="1"/>
    <col min="14075" max="14075" width="10.28515625" style="363" customWidth="1"/>
    <col min="14076" max="14076" width="11.28515625" style="363" customWidth="1"/>
    <col min="14077" max="14077" width="11.5703125" style="363" customWidth="1"/>
    <col min="14078" max="14078" width="9.85546875" style="363" customWidth="1"/>
    <col min="14079" max="14079" width="10.28515625" style="363" customWidth="1"/>
    <col min="14080" max="14080" width="8.85546875" style="363"/>
    <col min="14081" max="14081" width="12.140625" style="363" bestFit="1" customWidth="1"/>
    <col min="14082" max="14090" width="8.85546875" style="363"/>
    <col min="14091" max="14093" width="9.140625" style="363" customWidth="1"/>
    <col min="14094" max="14322" width="8.85546875" style="363"/>
    <col min="14323" max="14323" width="9.7109375" style="363" customWidth="1"/>
    <col min="14324" max="14324" width="68.5703125" style="363" customWidth="1"/>
    <col min="14325" max="14325" width="10.7109375" style="363" customWidth="1"/>
    <col min="14326" max="14326" width="11.140625" style="363" customWidth="1"/>
    <col min="14327" max="14327" width="0.7109375" style="363" customWidth="1"/>
    <col min="14328" max="14329" width="9.140625" style="363" customWidth="1"/>
    <col min="14330" max="14330" width="10" style="363" customWidth="1"/>
    <col min="14331" max="14331" width="10.28515625" style="363" customWidth="1"/>
    <col min="14332" max="14332" width="11.28515625" style="363" customWidth="1"/>
    <col min="14333" max="14333" width="11.5703125" style="363" customWidth="1"/>
    <col min="14334" max="14334" width="9.85546875" style="363" customWidth="1"/>
    <col min="14335" max="14335" width="10.28515625" style="363" customWidth="1"/>
    <col min="14336" max="14336" width="8.85546875" style="363"/>
    <col min="14337" max="14337" width="12.140625" style="363" bestFit="1" customWidth="1"/>
    <col min="14338" max="14346" width="9.140625" style="363"/>
    <col min="14347" max="14349" width="9.140625" style="363" customWidth="1"/>
    <col min="14350" max="14578" width="8.85546875" style="363"/>
    <col min="14579" max="14579" width="9.7109375" style="363" customWidth="1"/>
    <col min="14580" max="14580" width="68.5703125" style="363" customWidth="1"/>
    <col min="14581" max="14581" width="10.7109375" style="363" customWidth="1"/>
    <col min="14582" max="14582" width="11.140625" style="363" customWidth="1"/>
    <col min="14583" max="14583" width="0.7109375" style="363" customWidth="1"/>
    <col min="14584" max="14585" width="9.140625" style="363" customWidth="1"/>
    <col min="14586" max="14586" width="10" style="363" customWidth="1"/>
    <col min="14587" max="14587" width="10.28515625" style="363" customWidth="1"/>
    <col min="14588" max="14588" width="11.28515625" style="363" customWidth="1"/>
    <col min="14589" max="14589" width="11.5703125" style="363" customWidth="1"/>
    <col min="14590" max="14590" width="9.85546875" style="363" customWidth="1"/>
    <col min="14591" max="14591" width="10.28515625" style="363" customWidth="1"/>
    <col min="14592" max="14592" width="8.85546875" style="363"/>
    <col min="14593" max="14593" width="12.140625" style="363" bestFit="1" customWidth="1"/>
    <col min="14594" max="14602" width="8.85546875" style="363"/>
    <col min="14603" max="14605" width="9.140625" style="363" customWidth="1"/>
    <col min="14606" max="14834" width="8.85546875" style="363"/>
    <col min="14835" max="14835" width="9.7109375" style="363" customWidth="1"/>
    <col min="14836" max="14836" width="68.5703125" style="363" customWidth="1"/>
    <col min="14837" max="14837" width="10.7109375" style="363" customWidth="1"/>
    <col min="14838" max="14838" width="11.140625" style="363" customWidth="1"/>
    <col min="14839" max="14839" width="0.7109375" style="363" customWidth="1"/>
    <col min="14840" max="14841" width="9.140625" style="363" customWidth="1"/>
    <col min="14842" max="14842" width="10" style="363" customWidth="1"/>
    <col min="14843" max="14843" width="10.28515625" style="363" customWidth="1"/>
    <col min="14844" max="14844" width="11.28515625" style="363" customWidth="1"/>
    <col min="14845" max="14845" width="11.5703125" style="363" customWidth="1"/>
    <col min="14846" max="14846" width="9.85546875" style="363" customWidth="1"/>
    <col min="14847" max="14847" width="10.28515625" style="363" customWidth="1"/>
    <col min="14848" max="14848" width="8.85546875" style="363"/>
    <col min="14849" max="14849" width="12.140625" style="363" bestFit="1" customWidth="1"/>
    <col min="14850" max="14858" width="8.85546875" style="363"/>
    <col min="14859" max="14861" width="9.140625" style="363" customWidth="1"/>
    <col min="14862" max="15090" width="8.85546875" style="363"/>
    <col min="15091" max="15091" width="9.7109375" style="363" customWidth="1"/>
    <col min="15092" max="15092" width="68.5703125" style="363" customWidth="1"/>
    <col min="15093" max="15093" width="10.7109375" style="363" customWidth="1"/>
    <col min="15094" max="15094" width="11.140625" style="363" customWidth="1"/>
    <col min="15095" max="15095" width="0.7109375" style="363" customWidth="1"/>
    <col min="15096" max="15097" width="9.140625" style="363" customWidth="1"/>
    <col min="15098" max="15098" width="10" style="363" customWidth="1"/>
    <col min="15099" max="15099" width="10.28515625" style="363" customWidth="1"/>
    <col min="15100" max="15100" width="11.28515625" style="363" customWidth="1"/>
    <col min="15101" max="15101" width="11.5703125" style="363" customWidth="1"/>
    <col min="15102" max="15102" width="9.85546875" style="363" customWidth="1"/>
    <col min="15103" max="15103" width="10.28515625" style="363" customWidth="1"/>
    <col min="15104" max="15104" width="8.85546875" style="363"/>
    <col min="15105" max="15105" width="12.140625" style="363" bestFit="1" customWidth="1"/>
    <col min="15106" max="15114" width="8.85546875" style="363"/>
    <col min="15115" max="15117" width="9.140625" style="363" customWidth="1"/>
    <col min="15118" max="15346" width="8.85546875" style="363"/>
    <col min="15347" max="15347" width="9.7109375" style="363" customWidth="1"/>
    <col min="15348" max="15348" width="68.5703125" style="363" customWidth="1"/>
    <col min="15349" max="15349" width="10.7109375" style="363" customWidth="1"/>
    <col min="15350" max="15350" width="11.140625" style="363" customWidth="1"/>
    <col min="15351" max="15351" width="0.7109375" style="363" customWidth="1"/>
    <col min="15352" max="15353" width="9.140625" style="363" customWidth="1"/>
    <col min="15354" max="15354" width="10" style="363" customWidth="1"/>
    <col min="15355" max="15355" width="10.28515625" style="363" customWidth="1"/>
    <col min="15356" max="15356" width="11.28515625" style="363" customWidth="1"/>
    <col min="15357" max="15357" width="11.5703125" style="363" customWidth="1"/>
    <col min="15358" max="15358" width="9.85546875" style="363" customWidth="1"/>
    <col min="15359" max="15359" width="10.28515625" style="363" customWidth="1"/>
    <col min="15360" max="15360" width="8.85546875" style="363"/>
    <col min="15361" max="15361" width="12.140625" style="363" bestFit="1" customWidth="1"/>
    <col min="15362" max="15370" width="9.140625" style="363"/>
    <col min="15371" max="15373" width="9.140625" style="363" customWidth="1"/>
    <col min="15374" max="15602" width="8.85546875" style="363"/>
    <col min="15603" max="15603" width="9.7109375" style="363" customWidth="1"/>
    <col min="15604" max="15604" width="68.5703125" style="363" customWidth="1"/>
    <col min="15605" max="15605" width="10.7109375" style="363" customWidth="1"/>
    <col min="15606" max="15606" width="11.140625" style="363" customWidth="1"/>
    <col min="15607" max="15607" width="0.7109375" style="363" customWidth="1"/>
    <col min="15608" max="15609" width="9.140625" style="363" customWidth="1"/>
    <col min="15610" max="15610" width="10" style="363" customWidth="1"/>
    <col min="15611" max="15611" width="10.28515625" style="363" customWidth="1"/>
    <col min="15612" max="15612" width="11.28515625" style="363" customWidth="1"/>
    <col min="15613" max="15613" width="11.5703125" style="363" customWidth="1"/>
    <col min="15614" max="15614" width="9.85546875" style="363" customWidth="1"/>
    <col min="15615" max="15615" width="10.28515625" style="363" customWidth="1"/>
    <col min="15616" max="15616" width="8.85546875" style="363"/>
    <col min="15617" max="15617" width="12.140625" style="363" bestFit="1" customWidth="1"/>
    <col min="15618" max="15626" width="8.85546875" style="363"/>
    <col min="15627" max="15629" width="9.140625" style="363" customWidth="1"/>
    <col min="15630" max="15858" width="8.85546875" style="363"/>
    <col min="15859" max="15859" width="9.7109375" style="363" customWidth="1"/>
    <col min="15860" max="15860" width="68.5703125" style="363" customWidth="1"/>
    <col min="15861" max="15861" width="10.7109375" style="363" customWidth="1"/>
    <col min="15862" max="15862" width="11.140625" style="363" customWidth="1"/>
    <col min="15863" max="15863" width="0.7109375" style="363" customWidth="1"/>
    <col min="15864" max="15865" width="9.140625" style="363" customWidth="1"/>
    <col min="15866" max="15866" width="10" style="363" customWidth="1"/>
    <col min="15867" max="15867" width="10.28515625" style="363" customWidth="1"/>
    <col min="15868" max="15868" width="11.28515625" style="363" customWidth="1"/>
    <col min="15869" max="15869" width="11.5703125" style="363" customWidth="1"/>
    <col min="15870" max="15870" width="9.85546875" style="363" customWidth="1"/>
    <col min="15871" max="15871" width="10.28515625" style="363" customWidth="1"/>
    <col min="15872" max="15872" width="8.85546875" style="363"/>
    <col min="15873" max="15873" width="12.140625" style="363" bestFit="1" customWidth="1"/>
    <col min="15874" max="15882" width="8.85546875" style="363"/>
    <col min="15883" max="15885" width="9.140625" style="363" customWidth="1"/>
    <col min="15886" max="16114" width="8.85546875" style="363"/>
    <col min="16115" max="16115" width="9.7109375" style="363" customWidth="1"/>
    <col min="16116" max="16116" width="68.5703125" style="363" customWidth="1"/>
    <col min="16117" max="16117" width="10.7109375" style="363" customWidth="1"/>
    <col min="16118" max="16118" width="11.140625" style="363" customWidth="1"/>
    <col min="16119" max="16119" width="0.7109375" style="363" customWidth="1"/>
    <col min="16120" max="16121" width="9.140625" style="363" customWidth="1"/>
    <col min="16122" max="16122" width="10" style="363" customWidth="1"/>
    <col min="16123" max="16123" width="10.28515625" style="363" customWidth="1"/>
    <col min="16124" max="16124" width="11.28515625" style="363" customWidth="1"/>
    <col min="16125" max="16125" width="11.5703125" style="363" customWidth="1"/>
    <col min="16126" max="16126" width="9.85546875" style="363" customWidth="1"/>
    <col min="16127" max="16127" width="10.28515625" style="363" customWidth="1"/>
    <col min="16128" max="16128" width="8.85546875" style="363"/>
    <col min="16129" max="16129" width="12.140625" style="363" bestFit="1" customWidth="1"/>
    <col min="16130" max="16138" width="8.85546875" style="363"/>
    <col min="16139" max="16141" width="9.140625" style="363" customWidth="1"/>
    <col min="16142" max="16384" width="9.140625" style="363"/>
  </cols>
  <sheetData>
    <row r="2" spans="1:16" ht="53.25" customHeight="1">
      <c r="A2" s="1754" t="s">
        <v>199</v>
      </c>
      <c r="B2" s="1754"/>
      <c r="C2" s="1754"/>
      <c r="D2" s="1754"/>
      <c r="E2" s="357"/>
      <c r="F2" s="357"/>
      <c r="G2" s="357"/>
      <c r="H2" s="357"/>
      <c r="I2" s="357"/>
      <c r="J2" s="357"/>
    </row>
    <row r="3" spans="1:16">
      <c r="A3" s="1900" t="s">
        <v>289</v>
      </c>
      <c r="B3" s="1900"/>
      <c r="C3" s="1900"/>
      <c r="D3" s="1900"/>
      <c r="E3" s="358"/>
      <c r="F3" s="358"/>
      <c r="G3" s="358"/>
      <c r="H3" s="358"/>
      <c r="I3" s="358"/>
      <c r="J3" s="358"/>
      <c r="P3" s="363" t="s">
        <v>196</v>
      </c>
    </row>
    <row r="4" spans="1:16">
      <c r="A4" s="364"/>
      <c r="D4" s="358"/>
      <c r="E4" s="365"/>
      <c r="F4" s="365"/>
      <c r="G4" s="365"/>
      <c r="H4" s="365"/>
      <c r="I4" s="365"/>
      <c r="J4" s="365"/>
    </row>
    <row r="5" spans="1:16" ht="75.75" customHeight="1" thickBot="1">
      <c r="A5" s="366"/>
      <c r="B5" s="367"/>
      <c r="C5" s="367"/>
      <c r="D5" s="368" t="s">
        <v>183</v>
      </c>
      <c r="E5" s="368"/>
      <c r="F5" s="369"/>
      <c r="G5" s="368" t="s">
        <v>280</v>
      </c>
      <c r="H5" s="368" t="s">
        <v>278</v>
      </c>
      <c r="I5" s="368" t="s">
        <v>279</v>
      </c>
      <c r="J5" s="368" t="s">
        <v>198</v>
      </c>
      <c r="K5" s="370" t="s">
        <v>193</v>
      </c>
    </row>
    <row r="6" spans="1:16" s="379" customFormat="1" ht="46.35" customHeight="1" thickBot="1">
      <c r="A6" s="371" t="s">
        <v>19</v>
      </c>
      <c r="B6" s="372" t="s">
        <v>20</v>
      </c>
      <c r="C6" s="371" t="s">
        <v>21</v>
      </c>
      <c r="D6" s="373">
        <v>57372.765899999999</v>
      </c>
      <c r="E6" s="374"/>
      <c r="F6" s="375"/>
      <c r="G6" s="376">
        <v>1989.2190000000005</v>
      </c>
      <c r="H6" s="376">
        <v>904.35899999999992</v>
      </c>
      <c r="I6" s="376">
        <v>544.827</v>
      </c>
      <c r="J6" s="373">
        <v>4460.6600000000008</v>
      </c>
      <c r="K6" s="377">
        <f t="shared" ref="K6:K13" si="0">J6/D6</f>
        <v>7.7748735484966414E-2</v>
      </c>
      <c r="L6" s="378"/>
      <c r="M6" s="378"/>
    </row>
    <row r="7" spans="1:16" ht="21.75" customHeight="1" thickBot="1">
      <c r="A7" s="1899">
        <v>1</v>
      </c>
      <c r="B7" s="380" t="s">
        <v>22</v>
      </c>
      <c r="C7" s="381" t="s">
        <v>23</v>
      </c>
      <c r="D7" s="382">
        <v>78</v>
      </c>
      <c r="E7" s="374"/>
      <c r="F7" s="375"/>
      <c r="G7" s="376">
        <v>16</v>
      </c>
      <c r="H7" s="376">
        <v>7</v>
      </c>
      <c r="I7" s="376">
        <v>5</v>
      </c>
      <c r="J7" s="373">
        <v>29</v>
      </c>
      <c r="K7" s="377">
        <f t="shared" si="0"/>
        <v>0.37179487179487181</v>
      </c>
      <c r="L7" s="378"/>
    </row>
    <row r="8" spans="1:16" ht="19.5" thickBot="1">
      <c r="A8" s="1899"/>
      <c r="B8" s="380"/>
      <c r="C8" s="383" t="s">
        <v>24</v>
      </c>
      <c r="D8" s="384">
        <v>3.9447000000000001</v>
      </c>
      <c r="E8" s="385"/>
      <c r="F8" s="375"/>
      <c r="G8" s="386">
        <v>0.14269999999999999</v>
      </c>
      <c r="H8" s="386">
        <v>2.0999999999999998E-2</v>
      </c>
      <c r="I8" s="386">
        <v>3.3729999999999996E-2</v>
      </c>
      <c r="J8" s="373">
        <v>0.21242999999999998</v>
      </c>
      <c r="K8" s="377">
        <f t="shared" si="0"/>
        <v>5.385200395467335E-2</v>
      </c>
      <c r="L8" s="378"/>
      <c r="M8" s="363"/>
    </row>
    <row r="9" spans="1:16" ht="19.5" thickBot="1">
      <c r="A9" s="1899"/>
      <c r="B9" s="383" t="s">
        <v>25</v>
      </c>
      <c r="C9" s="383" t="s">
        <v>21</v>
      </c>
      <c r="D9" s="384">
        <v>1927.7079999999996</v>
      </c>
      <c r="E9" s="374"/>
      <c r="F9" s="375"/>
      <c r="G9" s="376">
        <v>144.66200000000001</v>
      </c>
      <c r="H9" s="376">
        <v>47.751000000000005</v>
      </c>
      <c r="I9" s="376">
        <v>17.088999999999999</v>
      </c>
      <c r="J9" s="373">
        <v>214.42900000000003</v>
      </c>
      <c r="K9" s="377">
        <f t="shared" si="0"/>
        <v>0.11123520782193158</v>
      </c>
      <c r="L9" s="378"/>
      <c r="M9" s="363"/>
    </row>
    <row r="10" spans="1:16" ht="19.5" thickBot="1">
      <c r="A10" s="383" t="s">
        <v>26</v>
      </c>
      <c r="B10" s="383" t="s">
        <v>27</v>
      </c>
      <c r="C10" s="383" t="s">
        <v>24</v>
      </c>
      <c r="D10" s="384">
        <v>1.4177</v>
      </c>
      <c r="E10" s="374"/>
      <c r="F10" s="375"/>
      <c r="G10" s="376">
        <v>3.8700000000000005E-2</v>
      </c>
      <c r="H10" s="376">
        <v>1.7899999999999999E-2</v>
      </c>
      <c r="I10" s="376">
        <v>6.0000000000000001E-3</v>
      </c>
      <c r="J10" s="373">
        <v>6.2600000000000003E-2</v>
      </c>
      <c r="K10" s="377">
        <f t="shared" si="0"/>
        <v>4.4156027368272559E-2</v>
      </c>
      <c r="L10" s="378"/>
      <c r="M10" s="363"/>
    </row>
    <row r="11" spans="1:16" ht="19.5" thickBot="1">
      <c r="A11" s="383"/>
      <c r="B11" s="383"/>
      <c r="C11" s="383" t="s">
        <v>21</v>
      </c>
      <c r="D11" s="384">
        <v>411.50799999999987</v>
      </c>
      <c r="E11" s="374"/>
      <c r="F11" s="375"/>
      <c r="G11" s="376">
        <v>97.779000000000011</v>
      </c>
      <c r="H11" s="376">
        <v>46.943000000000005</v>
      </c>
      <c r="I11" s="376">
        <v>1.145</v>
      </c>
      <c r="J11" s="373">
        <v>145.86700000000002</v>
      </c>
      <c r="K11" s="377">
        <f t="shared" si="0"/>
        <v>0.35446941493239514</v>
      </c>
      <c r="L11" s="378"/>
      <c r="M11" s="363"/>
    </row>
    <row r="12" spans="1:16" ht="19.5" thickBot="1">
      <c r="A12" s="383" t="s">
        <v>28</v>
      </c>
      <c r="B12" s="383" t="s">
        <v>29</v>
      </c>
      <c r="C12" s="383" t="s">
        <v>24</v>
      </c>
      <c r="D12" s="384">
        <v>2.5270000000000001</v>
      </c>
      <c r="E12" s="374"/>
      <c r="F12" s="375"/>
      <c r="G12" s="376">
        <v>0.10400000000000001</v>
      </c>
      <c r="H12" s="376">
        <v>3.1000000000000003E-3</v>
      </c>
      <c r="I12" s="376">
        <v>2.7729999999999998E-2</v>
      </c>
      <c r="J12" s="373">
        <v>0.14982999999999999</v>
      </c>
      <c r="K12" s="377">
        <f t="shared" si="0"/>
        <v>5.9291650178076763E-2</v>
      </c>
      <c r="L12" s="378"/>
      <c r="M12" s="363"/>
    </row>
    <row r="13" spans="1:16" ht="19.5" thickBot="1">
      <c r="A13" s="383"/>
      <c r="B13" s="383"/>
      <c r="C13" s="383" t="s">
        <v>21</v>
      </c>
      <c r="D13" s="384">
        <v>1516.1999999999998</v>
      </c>
      <c r="E13" s="374"/>
      <c r="F13" s="375"/>
      <c r="G13" s="376">
        <v>46.883000000000003</v>
      </c>
      <c r="H13" s="376">
        <v>0.80800000000000005</v>
      </c>
      <c r="I13" s="376">
        <v>15.943999999999999</v>
      </c>
      <c r="J13" s="373">
        <v>68.561999999999998</v>
      </c>
      <c r="K13" s="377">
        <f t="shared" si="0"/>
        <v>4.5219628017411952E-2</v>
      </c>
      <c r="L13" s="378"/>
      <c r="M13" s="363"/>
    </row>
    <row r="14" spans="1:16" ht="19.5" thickBot="1">
      <c r="A14" s="383" t="s">
        <v>30</v>
      </c>
      <c r="B14" s="383" t="s">
        <v>31</v>
      </c>
      <c r="C14" s="383" t="s">
        <v>21</v>
      </c>
      <c r="D14" s="384">
        <v>0</v>
      </c>
      <c r="E14" s="374"/>
      <c r="F14" s="375"/>
      <c r="G14" s="376">
        <v>0</v>
      </c>
      <c r="H14" s="376">
        <v>0</v>
      </c>
      <c r="I14" s="376">
        <v>0</v>
      </c>
      <c r="J14" s="373">
        <v>0</v>
      </c>
      <c r="K14" s="377">
        <v>0</v>
      </c>
      <c r="L14" s="378"/>
      <c r="M14" s="363"/>
    </row>
    <row r="15" spans="1:16" s="379" customFormat="1" ht="19.5" thickBot="1">
      <c r="A15" s="387">
        <v>2</v>
      </c>
      <c r="B15" s="388" t="s">
        <v>32</v>
      </c>
      <c r="C15" s="389" t="s">
        <v>33</v>
      </c>
      <c r="D15" s="390">
        <v>6</v>
      </c>
      <c r="E15" s="374"/>
      <c r="F15" s="375"/>
      <c r="G15" s="376">
        <v>0</v>
      </c>
      <c r="H15" s="376">
        <v>0</v>
      </c>
      <c r="I15" s="376">
        <v>0</v>
      </c>
      <c r="J15" s="373">
        <v>0</v>
      </c>
      <c r="K15" s="377">
        <f t="shared" ref="K15:K20" si="1">J15/D15</f>
        <v>0</v>
      </c>
      <c r="L15" s="378"/>
    </row>
    <row r="16" spans="1:16" s="379" customFormat="1" ht="19.5" thickBot="1">
      <c r="A16" s="389"/>
      <c r="B16" s="388" t="s">
        <v>34</v>
      </c>
      <c r="C16" s="389" t="s">
        <v>21</v>
      </c>
      <c r="D16" s="390">
        <v>1866.1920000000002</v>
      </c>
      <c r="E16" s="374"/>
      <c r="F16" s="375"/>
      <c r="G16" s="376">
        <v>0</v>
      </c>
      <c r="H16" s="376">
        <v>0</v>
      </c>
      <c r="I16" s="376">
        <v>0</v>
      </c>
      <c r="J16" s="373">
        <v>0</v>
      </c>
      <c r="K16" s="377">
        <f t="shared" si="1"/>
        <v>0</v>
      </c>
      <c r="L16" s="378"/>
    </row>
    <row r="17" spans="1:13" ht="19.5" thickBot="1">
      <c r="A17" s="391" t="s">
        <v>35</v>
      </c>
      <c r="B17" s="392" t="s">
        <v>36</v>
      </c>
      <c r="C17" s="391" t="s">
        <v>37</v>
      </c>
      <c r="D17" s="384">
        <v>227.12</v>
      </c>
      <c r="E17" s="374"/>
      <c r="F17" s="375"/>
      <c r="G17" s="376">
        <v>0</v>
      </c>
      <c r="H17" s="376">
        <v>0</v>
      </c>
      <c r="I17" s="376">
        <v>0</v>
      </c>
      <c r="J17" s="373">
        <v>0</v>
      </c>
      <c r="K17" s="377">
        <f t="shared" si="1"/>
        <v>0</v>
      </c>
      <c r="L17" s="378"/>
      <c r="M17" s="363"/>
    </row>
    <row r="18" spans="1:13" ht="19.5" thickBot="1">
      <c r="A18" s="391"/>
      <c r="B18" s="392"/>
      <c r="C18" s="391" t="s">
        <v>21</v>
      </c>
      <c r="D18" s="384">
        <v>1247.5320000000002</v>
      </c>
      <c r="E18" s="374"/>
      <c r="F18" s="375"/>
      <c r="G18" s="376">
        <v>0</v>
      </c>
      <c r="H18" s="376">
        <v>0</v>
      </c>
      <c r="I18" s="376">
        <v>0</v>
      </c>
      <c r="J18" s="373">
        <v>0</v>
      </c>
      <c r="K18" s="377">
        <f t="shared" si="1"/>
        <v>0</v>
      </c>
      <c r="L18" s="378"/>
      <c r="M18" s="363"/>
    </row>
    <row r="19" spans="1:13" ht="19.5" thickBot="1">
      <c r="A19" s="391" t="s">
        <v>38</v>
      </c>
      <c r="B19" s="392" t="s">
        <v>39</v>
      </c>
      <c r="C19" s="391" t="s">
        <v>40</v>
      </c>
      <c r="D19" s="384">
        <v>452</v>
      </c>
      <c r="E19" s="374"/>
      <c r="F19" s="375"/>
      <c r="G19" s="376">
        <v>0</v>
      </c>
      <c r="H19" s="376">
        <v>0</v>
      </c>
      <c r="I19" s="376">
        <v>0</v>
      </c>
      <c r="J19" s="373">
        <v>0</v>
      </c>
      <c r="K19" s="377">
        <f t="shared" si="1"/>
        <v>0</v>
      </c>
      <c r="L19" s="378"/>
      <c r="M19" s="363"/>
    </row>
    <row r="20" spans="1:13" ht="19.5" thickBot="1">
      <c r="A20" s="391"/>
      <c r="B20" s="392" t="s">
        <v>41</v>
      </c>
      <c r="C20" s="391" t="s">
        <v>21</v>
      </c>
      <c r="D20" s="384">
        <v>566.60500000000002</v>
      </c>
      <c r="E20" s="374"/>
      <c r="F20" s="375"/>
      <c r="G20" s="376">
        <v>0</v>
      </c>
      <c r="H20" s="376">
        <v>0</v>
      </c>
      <c r="I20" s="376">
        <v>0</v>
      </c>
      <c r="J20" s="373">
        <v>0</v>
      </c>
      <c r="K20" s="377">
        <f t="shared" si="1"/>
        <v>0</v>
      </c>
      <c r="L20" s="378"/>
      <c r="M20" s="363"/>
    </row>
    <row r="21" spans="1:13" ht="19.5" thickBot="1">
      <c r="A21" s="391" t="s">
        <v>42</v>
      </c>
      <c r="B21" s="392" t="s">
        <v>43</v>
      </c>
      <c r="C21" s="391" t="s">
        <v>40</v>
      </c>
      <c r="D21" s="384">
        <v>0</v>
      </c>
      <c r="E21" s="374"/>
      <c r="F21" s="375"/>
      <c r="G21" s="376">
        <v>0</v>
      </c>
      <c r="H21" s="376">
        <v>0</v>
      </c>
      <c r="I21" s="376">
        <v>0</v>
      </c>
      <c r="J21" s="373">
        <v>0</v>
      </c>
      <c r="K21" s="377">
        <v>0</v>
      </c>
      <c r="L21" s="378"/>
      <c r="M21" s="363"/>
    </row>
    <row r="22" spans="1:13" ht="19.5" thickBot="1">
      <c r="A22" s="391"/>
      <c r="B22" s="392" t="s">
        <v>44</v>
      </c>
      <c r="C22" s="391" t="s">
        <v>21</v>
      </c>
      <c r="D22" s="384">
        <v>0</v>
      </c>
      <c r="E22" s="374"/>
      <c r="F22" s="375"/>
      <c r="G22" s="376">
        <v>0</v>
      </c>
      <c r="H22" s="376">
        <v>0</v>
      </c>
      <c r="I22" s="376">
        <v>0</v>
      </c>
      <c r="J22" s="373">
        <v>0</v>
      </c>
      <c r="K22" s="377">
        <v>0</v>
      </c>
      <c r="L22" s="378"/>
      <c r="M22" s="363"/>
    </row>
    <row r="23" spans="1:13" ht="19.5" thickBot="1">
      <c r="A23" s="391" t="s">
        <v>45</v>
      </c>
      <c r="B23" s="392" t="s">
        <v>46</v>
      </c>
      <c r="C23" s="391" t="s">
        <v>47</v>
      </c>
      <c r="D23" s="384">
        <v>0</v>
      </c>
      <c r="E23" s="374"/>
      <c r="F23" s="375"/>
      <c r="G23" s="376">
        <v>0</v>
      </c>
      <c r="H23" s="376">
        <v>0</v>
      </c>
      <c r="I23" s="376">
        <v>0</v>
      </c>
      <c r="J23" s="373">
        <v>0</v>
      </c>
      <c r="K23" s="377">
        <v>0</v>
      </c>
      <c r="L23" s="378"/>
      <c r="M23" s="363"/>
    </row>
    <row r="24" spans="1:13" ht="19.5" thickBot="1">
      <c r="A24" s="391"/>
      <c r="B24" s="392"/>
      <c r="C24" s="391" t="s">
        <v>21</v>
      </c>
      <c r="D24" s="384">
        <v>0</v>
      </c>
      <c r="E24" s="374"/>
      <c r="F24" s="375"/>
      <c r="G24" s="376">
        <v>0</v>
      </c>
      <c r="H24" s="376">
        <v>0</v>
      </c>
      <c r="I24" s="376">
        <v>0</v>
      </c>
      <c r="J24" s="373">
        <v>0</v>
      </c>
      <c r="K24" s="377">
        <v>0</v>
      </c>
      <c r="L24" s="378"/>
      <c r="M24" s="363"/>
    </row>
    <row r="25" spans="1:13" ht="38.25" thickBot="1">
      <c r="A25" s="391" t="s">
        <v>48</v>
      </c>
      <c r="B25" s="393" t="s">
        <v>49</v>
      </c>
      <c r="C25" s="391" t="s">
        <v>21</v>
      </c>
      <c r="D25" s="384">
        <v>52.054999999999986</v>
      </c>
      <c r="E25" s="374"/>
      <c r="F25" s="375"/>
      <c r="G25" s="376">
        <v>0</v>
      </c>
      <c r="H25" s="376">
        <v>0</v>
      </c>
      <c r="I25" s="376">
        <v>0</v>
      </c>
      <c r="J25" s="373">
        <v>0</v>
      </c>
      <c r="K25" s="377">
        <f t="shared" ref="K25:K38" si="2">J25/D25</f>
        <v>0</v>
      </c>
      <c r="L25" s="378"/>
      <c r="M25" s="363"/>
    </row>
    <row r="26" spans="1:13" ht="19.5" thickBot="1">
      <c r="A26" s="394">
        <v>3</v>
      </c>
      <c r="B26" s="380" t="s">
        <v>50</v>
      </c>
      <c r="C26" s="383" t="s">
        <v>51</v>
      </c>
      <c r="D26" s="384">
        <v>3.7</v>
      </c>
      <c r="E26" s="374"/>
      <c r="F26" s="375"/>
      <c r="G26" s="376">
        <v>0.24299999999999999</v>
      </c>
      <c r="H26" s="376">
        <v>8.6E-3</v>
      </c>
      <c r="I26" s="376">
        <v>0.47499999999999998</v>
      </c>
      <c r="J26" s="373">
        <v>1.3446</v>
      </c>
      <c r="K26" s="377">
        <f t="shared" si="2"/>
        <v>0.36340540540540539</v>
      </c>
      <c r="L26" s="378"/>
      <c r="M26" s="363"/>
    </row>
    <row r="27" spans="1:13" ht="19.5" thickBot="1">
      <c r="A27" s="383"/>
      <c r="B27" s="380" t="s">
        <v>52</v>
      </c>
      <c r="C27" s="383" t="s">
        <v>21</v>
      </c>
      <c r="D27" s="384">
        <v>2400</v>
      </c>
      <c r="E27" s="374"/>
      <c r="F27" s="375"/>
      <c r="G27" s="376">
        <v>193.76400000000001</v>
      </c>
      <c r="H27" s="376">
        <v>15.427</v>
      </c>
      <c r="I27" s="376">
        <v>274.46999999999997</v>
      </c>
      <c r="J27" s="373">
        <v>760.47800000000007</v>
      </c>
      <c r="K27" s="377">
        <f t="shared" si="2"/>
        <v>0.31686583333333335</v>
      </c>
      <c r="L27" s="378"/>
      <c r="M27" s="363"/>
    </row>
    <row r="28" spans="1:13" ht="19.5" thickBot="1">
      <c r="A28" s="394">
        <v>4</v>
      </c>
      <c r="B28" s="380" t="s">
        <v>53</v>
      </c>
      <c r="C28" s="383" t="s">
        <v>24</v>
      </c>
      <c r="D28" s="384">
        <v>6.0336499999999873</v>
      </c>
      <c r="E28" s="374"/>
      <c r="F28" s="375"/>
      <c r="G28" s="376">
        <v>0</v>
      </c>
      <c r="H28" s="376">
        <v>1.6E-2</v>
      </c>
      <c r="I28" s="376">
        <v>8.4000000000000005E-2</v>
      </c>
      <c r="J28" s="373">
        <v>0.15600000000000003</v>
      </c>
      <c r="K28" s="377">
        <f t="shared" si="2"/>
        <v>2.5854996560954042E-2</v>
      </c>
      <c r="L28" s="378"/>
      <c r="M28" s="363"/>
    </row>
    <row r="29" spans="1:13" ht="19.5" thickBot="1">
      <c r="A29" s="395"/>
      <c r="B29" s="383"/>
      <c r="C29" s="383" t="s">
        <v>21</v>
      </c>
      <c r="D29" s="384">
        <v>10556.737500000001</v>
      </c>
      <c r="E29" s="374"/>
      <c r="F29" s="375"/>
      <c r="G29" s="376">
        <v>0</v>
      </c>
      <c r="H29" s="376">
        <v>2.3839999999999999</v>
      </c>
      <c r="I29" s="376">
        <v>39.838999999999999</v>
      </c>
      <c r="J29" s="373">
        <v>201.35799999999998</v>
      </c>
      <c r="K29" s="377">
        <f t="shared" si="2"/>
        <v>1.9073885279424628E-2</v>
      </c>
      <c r="L29" s="378"/>
      <c r="M29" s="363"/>
    </row>
    <row r="30" spans="1:13" ht="19.5" thickBot="1">
      <c r="A30" s="394">
        <v>5</v>
      </c>
      <c r="B30" s="380" t="s">
        <v>54</v>
      </c>
      <c r="C30" s="383" t="s">
        <v>24</v>
      </c>
      <c r="D30" s="384">
        <v>64.735100000000031</v>
      </c>
      <c r="E30" s="374"/>
      <c r="F30" s="375"/>
      <c r="G30" s="376">
        <v>0</v>
      </c>
      <c r="H30" s="376">
        <v>0.376</v>
      </c>
      <c r="I30" s="376">
        <v>0</v>
      </c>
      <c r="J30" s="373">
        <v>2.0868000000000002</v>
      </c>
      <c r="K30" s="377">
        <f t="shared" si="2"/>
        <v>3.2235989440041017E-2</v>
      </c>
      <c r="L30" s="378"/>
      <c r="M30" s="363"/>
    </row>
    <row r="31" spans="1:13" ht="19.5" thickBot="1">
      <c r="A31" s="395"/>
      <c r="B31" s="380" t="s">
        <v>55</v>
      </c>
      <c r="C31" s="383" t="s">
        <v>56</v>
      </c>
      <c r="D31" s="384">
        <v>190</v>
      </c>
      <c r="E31" s="374"/>
      <c r="F31" s="375"/>
      <c r="G31" s="376">
        <v>0</v>
      </c>
      <c r="H31" s="376">
        <v>1</v>
      </c>
      <c r="I31" s="376">
        <v>0</v>
      </c>
      <c r="J31" s="373">
        <v>5</v>
      </c>
      <c r="K31" s="377">
        <f t="shared" si="2"/>
        <v>2.6315789473684209E-2</v>
      </c>
      <c r="L31" s="378"/>
      <c r="M31" s="363"/>
    </row>
    <row r="32" spans="1:13" ht="19.5" thickBot="1">
      <c r="A32" s="395"/>
      <c r="B32" s="380"/>
      <c r="C32" s="383" t="s">
        <v>21</v>
      </c>
      <c r="D32" s="384">
        <v>28894.864399999999</v>
      </c>
      <c r="E32" s="396"/>
      <c r="F32" s="375"/>
      <c r="G32" s="397">
        <v>0</v>
      </c>
      <c r="H32" s="397">
        <v>178</v>
      </c>
      <c r="I32" s="397">
        <v>0</v>
      </c>
      <c r="J32" s="373">
        <v>657.05199999999991</v>
      </c>
      <c r="K32" s="377">
        <f t="shared" si="2"/>
        <v>2.2739404168998278E-2</v>
      </c>
      <c r="L32" s="378"/>
      <c r="M32" s="363"/>
    </row>
    <row r="33" spans="1:13" ht="38.25" thickBot="1">
      <c r="A33" s="395" t="s">
        <v>57</v>
      </c>
      <c r="B33" s="398" t="s">
        <v>58</v>
      </c>
      <c r="C33" s="383" t="s">
        <v>24</v>
      </c>
      <c r="D33" s="384">
        <v>0.1</v>
      </c>
      <c r="E33" s="374"/>
      <c r="F33" s="375"/>
      <c r="G33" s="376">
        <v>0</v>
      </c>
      <c r="H33" s="376">
        <v>0</v>
      </c>
      <c r="I33" s="376">
        <v>0</v>
      </c>
      <c r="J33" s="373">
        <v>0.01</v>
      </c>
      <c r="K33" s="377">
        <f t="shared" si="2"/>
        <v>9.9999999999999992E-2</v>
      </c>
      <c r="L33" s="378"/>
      <c r="M33" s="363"/>
    </row>
    <row r="34" spans="1:13" ht="19.5" thickBot="1">
      <c r="A34" s="395"/>
      <c r="B34" s="380"/>
      <c r="C34" s="383" t="s">
        <v>21</v>
      </c>
      <c r="D34" s="384">
        <v>40</v>
      </c>
      <c r="E34" s="374"/>
      <c r="F34" s="375"/>
      <c r="G34" s="376">
        <v>0</v>
      </c>
      <c r="H34" s="376">
        <v>0</v>
      </c>
      <c r="I34" s="376">
        <v>0</v>
      </c>
      <c r="J34" s="373">
        <v>1.365</v>
      </c>
      <c r="K34" s="377">
        <f t="shared" si="2"/>
        <v>3.4125000000000003E-2</v>
      </c>
      <c r="L34" s="378"/>
      <c r="M34" s="363"/>
    </row>
    <row r="35" spans="1:13" ht="35.25" customHeight="1" thickBot="1">
      <c r="A35" s="399"/>
      <c r="B35" s="398" t="s">
        <v>59</v>
      </c>
      <c r="C35" s="383" t="s">
        <v>24</v>
      </c>
      <c r="D35" s="384">
        <v>0.3</v>
      </c>
      <c r="E35" s="374"/>
      <c r="F35" s="375"/>
      <c r="G35" s="376">
        <v>0.11824000000000001</v>
      </c>
      <c r="H35" s="376">
        <v>7.4999999999999997E-2</v>
      </c>
      <c r="I35" s="376">
        <v>5.2500000000000003E-3</v>
      </c>
      <c r="J35" s="373">
        <v>0.20261500000000002</v>
      </c>
      <c r="K35" s="377">
        <f t="shared" si="2"/>
        <v>0.67538333333333345</v>
      </c>
      <c r="L35" s="378"/>
      <c r="M35" s="363"/>
    </row>
    <row r="36" spans="1:13" ht="21" customHeight="1" thickBot="1">
      <c r="A36" s="395"/>
      <c r="B36" s="380"/>
      <c r="C36" s="383" t="s">
        <v>21</v>
      </c>
      <c r="D36" s="384">
        <v>360</v>
      </c>
      <c r="E36" s="374"/>
      <c r="F36" s="375"/>
      <c r="G36" s="376">
        <v>166.47900000000001</v>
      </c>
      <c r="H36" s="376">
        <v>53.704000000000001</v>
      </c>
      <c r="I36" s="376">
        <v>6.4089999999999998</v>
      </c>
      <c r="J36" s="373">
        <v>230.84200000000001</v>
      </c>
      <c r="K36" s="377">
        <f t="shared" si="2"/>
        <v>0.64122777777777784</v>
      </c>
      <c r="L36" s="378"/>
      <c r="M36" s="363"/>
    </row>
    <row r="37" spans="1:13" ht="19.5" thickBot="1">
      <c r="A37" s="394">
        <v>7</v>
      </c>
      <c r="B37" s="380" t="s">
        <v>60</v>
      </c>
      <c r="C37" s="383" t="s">
        <v>47</v>
      </c>
      <c r="D37" s="384">
        <v>90</v>
      </c>
      <c r="E37" s="374"/>
      <c r="F37" s="375"/>
      <c r="G37" s="376">
        <v>26</v>
      </c>
      <c r="H37" s="376">
        <v>1</v>
      </c>
      <c r="I37" s="376">
        <v>19</v>
      </c>
      <c r="J37" s="373">
        <v>55</v>
      </c>
      <c r="K37" s="377">
        <f t="shared" si="2"/>
        <v>0.61111111111111116</v>
      </c>
      <c r="L37" s="378"/>
      <c r="M37" s="363"/>
    </row>
    <row r="38" spans="1:13" ht="19.5" thickBot="1">
      <c r="A38" s="383"/>
      <c r="B38" s="380" t="s">
        <v>61</v>
      </c>
      <c r="C38" s="383" t="s">
        <v>21</v>
      </c>
      <c r="D38" s="384">
        <v>60</v>
      </c>
      <c r="E38" s="374"/>
      <c r="F38" s="375"/>
      <c r="G38" s="376">
        <v>35.332999999999998</v>
      </c>
      <c r="H38" s="376">
        <v>3.4889999999999999</v>
      </c>
      <c r="I38" s="376">
        <v>17.668000000000006</v>
      </c>
      <c r="J38" s="373">
        <v>72.66</v>
      </c>
      <c r="K38" s="377">
        <f t="shared" si="2"/>
        <v>1.2109999999999999</v>
      </c>
      <c r="L38" s="378"/>
      <c r="M38" s="363"/>
    </row>
    <row r="39" spans="1:13" ht="19.5" thickBot="1">
      <c r="A39" s="394">
        <v>8</v>
      </c>
      <c r="B39" s="380" t="s">
        <v>62</v>
      </c>
      <c r="C39" s="383" t="s">
        <v>47</v>
      </c>
      <c r="D39" s="384">
        <v>0</v>
      </c>
      <c r="E39" s="374"/>
      <c r="F39" s="375"/>
      <c r="G39" s="376">
        <v>0</v>
      </c>
      <c r="H39" s="376">
        <v>0</v>
      </c>
      <c r="I39" s="376">
        <v>0</v>
      </c>
      <c r="J39" s="373">
        <v>0</v>
      </c>
      <c r="K39" s="377">
        <v>0</v>
      </c>
      <c r="L39" s="378"/>
      <c r="M39" s="363"/>
    </row>
    <row r="40" spans="1:13" ht="19.5" thickBot="1">
      <c r="A40" s="394"/>
      <c r="B40" s="380" t="s">
        <v>63</v>
      </c>
      <c r="C40" s="383" t="s">
        <v>21</v>
      </c>
      <c r="D40" s="384">
        <v>0</v>
      </c>
      <c r="E40" s="374"/>
      <c r="F40" s="375"/>
      <c r="G40" s="376">
        <v>0</v>
      </c>
      <c r="H40" s="376">
        <v>0</v>
      </c>
      <c r="I40" s="376">
        <v>0</v>
      </c>
      <c r="J40" s="373">
        <v>0</v>
      </c>
      <c r="K40" s="377">
        <v>0</v>
      </c>
      <c r="L40" s="378"/>
      <c r="M40" s="363"/>
    </row>
    <row r="41" spans="1:13" ht="19.5" thickBot="1">
      <c r="A41" s="394">
        <v>9</v>
      </c>
      <c r="B41" s="380" t="s">
        <v>64</v>
      </c>
      <c r="C41" s="383" t="s">
        <v>51</v>
      </c>
      <c r="D41" s="384">
        <v>1.6666666666666667</v>
      </c>
      <c r="E41" s="374"/>
      <c r="F41" s="375"/>
      <c r="G41" s="376">
        <v>0</v>
      </c>
      <c r="H41" s="376">
        <v>0</v>
      </c>
      <c r="I41" s="376">
        <v>0</v>
      </c>
      <c r="J41" s="373">
        <v>0</v>
      </c>
      <c r="K41" s="377">
        <f t="shared" ref="K41:K52" si="3">J41/D41</f>
        <v>0</v>
      </c>
      <c r="L41" s="378"/>
      <c r="M41" s="363"/>
    </row>
    <row r="42" spans="1:13" ht="19.5" thickBot="1">
      <c r="A42" s="394"/>
      <c r="B42" s="383"/>
      <c r="C42" s="383" t="s">
        <v>21</v>
      </c>
      <c r="D42" s="384">
        <v>3000</v>
      </c>
      <c r="E42" s="374"/>
      <c r="F42" s="375"/>
      <c r="G42" s="376">
        <v>0</v>
      </c>
      <c r="H42" s="376">
        <v>0</v>
      </c>
      <c r="I42" s="376">
        <v>0</v>
      </c>
      <c r="J42" s="373">
        <v>0</v>
      </c>
      <c r="K42" s="377">
        <f t="shared" si="3"/>
        <v>0</v>
      </c>
      <c r="L42" s="378"/>
      <c r="M42" s="363"/>
    </row>
    <row r="43" spans="1:13" ht="19.5" thickBot="1">
      <c r="A43" s="394">
        <v>10</v>
      </c>
      <c r="B43" s="380" t="s">
        <v>65</v>
      </c>
      <c r="C43" s="383" t="s">
        <v>47</v>
      </c>
      <c r="D43" s="384">
        <v>130</v>
      </c>
      <c r="E43" s="374"/>
      <c r="F43" s="375"/>
      <c r="G43" s="376">
        <v>12</v>
      </c>
      <c r="H43" s="376">
        <v>10</v>
      </c>
      <c r="I43" s="376">
        <v>18</v>
      </c>
      <c r="J43" s="373">
        <v>42</v>
      </c>
      <c r="K43" s="377">
        <f t="shared" si="3"/>
        <v>0.32307692307692309</v>
      </c>
      <c r="L43" s="378"/>
      <c r="M43" s="363"/>
    </row>
    <row r="44" spans="1:13" ht="19.5" thickBot="1">
      <c r="A44" s="394"/>
      <c r="B44" s="380" t="s">
        <v>66</v>
      </c>
      <c r="C44" s="383" t="s">
        <v>21</v>
      </c>
      <c r="D44" s="384">
        <v>900</v>
      </c>
      <c r="E44" s="374"/>
      <c r="F44" s="375"/>
      <c r="G44" s="376">
        <v>414.185</v>
      </c>
      <c r="H44" s="376">
        <v>563.86699999999996</v>
      </c>
      <c r="I44" s="376">
        <v>62.003</v>
      </c>
      <c r="J44" s="373">
        <v>1041.6699999999998</v>
      </c>
      <c r="K44" s="377">
        <f t="shared" si="3"/>
        <v>1.1574111111111109</v>
      </c>
      <c r="L44" s="378"/>
      <c r="M44" s="363"/>
    </row>
    <row r="45" spans="1:13" ht="19.5" thickBot="1">
      <c r="A45" s="394">
        <v>11</v>
      </c>
      <c r="B45" s="380" t="s">
        <v>67</v>
      </c>
      <c r="C45" s="383" t="s">
        <v>47</v>
      </c>
      <c r="D45" s="384">
        <v>70</v>
      </c>
      <c r="E45" s="374"/>
      <c r="F45" s="375"/>
      <c r="G45" s="376">
        <v>37</v>
      </c>
      <c r="H45" s="376">
        <v>2</v>
      </c>
      <c r="I45" s="376">
        <v>5</v>
      </c>
      <c r="J45" s="373">
        <v>51</v>
      </c>
      <c r="K45" s="377">
        <f t="shared" si="3"/>
        <v>0.72857142857142854</v>
      </c>
      <c r="L45" s="378"/>
      <c r="M45" s="363"/>
    </row>
    <row r="46" spans="1:13" ht="28.5" customHeight="1" thickBot="1">
      <c r="A46" s="394"/>
      <c r="B46" s="383"/>
      <c r="C46" s="383" t="s">
        <v>21</v>
      </c>
      <c r="D46" s="384">
        <v>1000</v>
      </c>
      <c r="E46" s="374"/>
      <c r="F46" s="375"/>
      <c r="G46" s="376">
        <v>514.928</v>
      </c>
      <c r="H46" s="376">
        <v>38.42</v>
      </c>
      <c r="I46" s="376">
        <v>63.933</v>
      </c>
      <c r="J46" s="373">
        <v>694.35900000000004</v>
      </c>
      <c r="K46" s="377">
        <f t="shared" si="3"/>
        <v>0.69435900000000006</v>
      </c>
      <c r="L46" s="378"/>
      <c r="M46" s="363"/>
    </row>
    <row r="47" spans="1:13" ht="19.5" thickBot="1">
      <c r="A47" s="394">
        <v>12</v>
      </c>
      <c r="B47" s="380" t="s">
        <v>68</v>
      </c>
      <c r="C47" s="383" t="s">
        <v>47</v>
      </c>
      <c r="D47" s="384">
        <v>300</v>
      </c>
      <c r="E47" s="374"/>
      <c r="F47" s="375"/>
      <c r="G47" s="376">
        <v>54</v>
      </c>
      <c r="H47" s="376">
        <v>1</v>
      </c>
      <c r="I47" s="376">
        <v>1</v>
      </c>
      <c r="J47" s="373">
        <v>60</v>
      </c>
      <c r="K47" s="377">
        <f t="shared" si="3"/>
        <v>0.2</v>
      </c>
      <c r="L47" s="378"/>
      <c r="M47" s="363"/>
    </row>
    <row r="48" spans="1:13" ht="19.5" thickBot="1">
      <c r="A48" s="394"/>
      <c r="B48" s="380" t="s">
        <v>69</v>
      </c>
      <c r="C48" s="383" t="s">
        <v>21</v>
      </c>
      <c r="D48" s="384">
        <v>4000</v>
      </c>
      <c r="E48" s="374"/>
      <c r="F48" s="375"/>
      <c r="G48" s="376">
        <v>432.2050000000001</v>
      </c>
      <c r="H48" s="376">
        <v>1.3169999999999999</v>
      </c>
      <c r="I48" s="376">
        <v>1.022</v>
      </c>
      <c r="J48" s="373">
        <v>436.3900000000001</v>
      </c>
      <c r="K48" s="377">
        <f t="shared" si="3"/>
        <v>0.10909750000000003</v>
      </c>
      <c r="L48" s="378"/>
      <c r="M48" s="363"/>
    </row>
    <row r="49" spans="1:13" ht="19.5" thickBot="1">
      <c r="A49" s="394">
        <v>14</v>
      </c>
      <c r="B49" s="380" t="s">
        <v>70</v>
      </c>
      <c r="C49" s="383" t="s">
        <v>24</v>
      </c>
      <c r="D49" s="384">
        <v>0.53870000000000018</v>
      </c>
      <c r="E49" s="374"/>
      <c r="F49" s="375"/>
      <c r="G49" s="376">
        <v>7.0250000000000007E-2</v>
      </c>
      <c r="H49" s="376">
        <v>0</v>
      </c>
      <c r="I49" s="376">
        <v>1.3518000000000001E-2</v>
      </c>
      <c r="J49" s="373">
        <v>8.3768000000000009E-2</v>
      </c>
      <c r="K49" s="377">
        <f t="shared" si="3"/>
        <v>0.15550027844811579</v>
      </c>
      <c r="L49" s="378"/>
      <c r="M49" s="363"/>
    </row>
    <row r="50" spans="1:13" ht="19.5" thickBot="1">
      <c r="A50" s="394"/>
      <c r="B50" s="380" t="s">
        <v>71</v>
      </c>
      <c r="C50" s="383" t="s">
        <v>21</v>
      </c>
      <c r="D50" s="384">
        <v>341.76400000000001</v>
      </c>
      <c r="E50" s="374"/>
      <c r="F50" s="375"/>
      <c r="G50" s="376">
        <v>74.986000000000004</v>
      </c>
      <c r="H50" s="376">
        <v>0</v>
      </c>
      <c r="I50" s="376">
        <v>59.869</v>
      </c>
      <c r="J50" s="373">
        <v>134.85500000000002</v>
      </c>
      <c r="K50" s="377">
        <f t="shared" si="3"/>
        <v>0.39458515232733704</v>
      </c>
      <c r="L50" s="378"/>
      <c r="M50" s="363"/>
    </row>
    <row r="51" spans="1:13" ht="19.5" thickBot="1">
      <c r="A51" s="394">
        <v>15</v>
      </c>
      <c r="B51" s="380" t="s">
        <v>72</v>
      </c>
      <c r="C51" s="383" t="s">
        <v>47</v>
      </c>
      <c r="D51" s="384">
        <v>6</v>
      </c>
      <c r="E51" s="374"/>
      <c r="F51" s="375"/>
      <c r="G51" s="376">
        <v>1</v>
      </c>
      <c r="H51" s="376">
        <v>0</v>
      </c>
      <c r="I51" s="376">
        <v>1</v>
      </c>
      <c r="J51" s="373">
        <v>2</v>
      </c>
      <c r="K51" s="377">
        <f t="shared" si="3"/>
        <v>0.33333333333333331</v>
      </c>
      <c r="L51" s="378"/>
    </row>
    <row r="52" spans="1:13" ht="19.5" thickBot="1">
      <c r="A52" s="394"/>
      <c r="B52" s="380" t="s">
        <v>73</v>
      </c>
      <c r="C52" s="383" t="s">
        <v>21</v>
      </c>
      <c r="D52" s="384">
        <v>24</v>
      </c>
      <c r="E52" s="374"/>
      <c r="F52" s="375"/>
      <c r="G52" s="376">
        <v>4.5369999999999999</v>
      </c>
      <c r="H52" s="376">
        <v>0</v>
      </c>
      <c r="I52" s="376">
        <v>0.23100000000000001</v>
      </c>
      <c r="J52" s="373">
        <v>4.7679999999999998</v>
      </c>
      <c r="K52" s="377">
        <f t="shared" si="3"/>
        <v>0.19866666666666666</v>
      </c>
      <c r="L52" s="378"/>
    </row>
    <row r="53" spans="1:13" ht="19.5" thickBot="1">
      <c r="A53" s="394">
        <v>16</v>
      </c>
      <c r="B53" s="380" t="s">
        <v>74</v>
      </c>
      <c r="C53" s="383" t="s">
        <v>47</v>
      </c>
      <c r="D53" s="384">
        <v>0</v>
      </c>
      <c r="E53" s="374"/>
      <c r="F53" s="375"/>
      <c r="G53" s="376">
        <v>0</v>
      </c>
      <c r="H53" s="376">
        <v>0</v>
      </c>
      <c r="I53" s="376">
        <v>0</v>
      </c>
      <c r="J53" s="373">
        <v>0</v>
      </c>
      <c r="K53" s="377">
        <v>0</v>
      </c>
      <c r="L53" s="378"/>
    </row>
    <row r="54" spans="1:13" ht="19.5" thickBot="1">
      <c r="A54" s="394"/>
      <c r="B54" s="380"/>
      <c r="C54" s="383" t="s">
        <v>21</v>
      </c>
      <c r="D54" s="384">
        <v>0</v>
      </c>
      <c r="E54" s="374"/>
      <c r="F54" s="375"/>
      <c r="G54" s="376">
        <v>0</v>
      </c>
      <c r="H54" s="376">
        <v>0</v>
      </c>
      <c r="I54" s="376">
        <v>0</v>
      </c>
      <c r="J54" s="373">
        <v>0</v>
      </c>
      <c r="K54" s="377">
        <v>0</v>
      </c>
      <c r="L54" s="378"/>
    </row>
    <row r="55" spans="1:13" ht="40.5" customHeight="1" thickBot="1">
      <c r="A55" s="394">
        <v>17</v>
      </c>
      <c r="B55" s="398" t="s">
        <v>75</v>
      </c>
      <c r="C55" s="383" t="s">
        <v>24</v>
      </c>
      <c r="D55" s="384">
        <v>0</v>
      </c>
      <c r="E55" s="374"/>
      <c r="F55" s="375"/>
      <c r="G55" s="376">
        <v>0</v>
      </c>
      <c r="H55" s="376">
        <v>0</v>
      </c>
      <c r="I55" s="376">
        <v>0</v>
      </c>
      <c r="J55" s="373">
        <v>0</v>
      </c>
      <c r="K55" s="377">
        <v>0</v>
      </c>
      <c r="L55" s="378"/>
    </row>
    <row r="56" spans="1:13" ht="19.5" thickBot="1">
      <c r="A56" s="394"/>
      <c r="B56" s="400"/>
      <c r="C56" s="383" t="s">
        <v>21</v>
      </c>
      <c r="D56" s="384">
        <v>0</v>
      </c>
      <c r="E56" s="374"/>
      <c r="F56" s="375"/>
      <c r="G56" s="376">
        <v>0</v>
      </c>
      <c r="H56" s="376">
        <v>0</v>
      </c>
      <c r="I56" s="376">
        <v>0</v>
      </c>
      <c r="J56" s="373">
        <v>0</v>
      </c>
      <c r="K56" s="377">
        <v>0</v>
      </c>
      <c r="L56" s="378"/>
    </row>
    <row r="57" spans="1:13" ht="19.5" thickBot="1">
      <c r="A57" s="394">
        <v>18</v>
      </c>
      <c r="B57" s="380" t="s">
        <v>76</v>
      </c>
      <c r="C57" s="383" t="s">
        <v>47</v>
      </c>
      <c r="D57" s="384">
        <v>0</v>
      </c>
      <c r="E57" s="374"/>
      <c r="F57" s="375"/>
      <c r="G57" s="376">
        <v>0</v>
      </c>
      <c r="H57" s="376">
        <v>0</v>
      </c>
      <c r="I57" s="376">
        <v>0</v>
      </c>
      <c r="J57" s="373">
        <v>0</v>
      </c>
      <c r="K57" s="377">
        <v>0</v>
      </c>
      <c r="L57" s="378"/>
    </row>
    <row r="58" spans="1:13" ht="19.5" thickBot="1">
      <c r="A58" s="394"/>
      <c r="B58" s="380"/>
      <c r="C58" s="383" t="s">
        <v>21</v>
      </c>
      <c r="D58" s="384">
        <v>0</v>
      </c>
      <c r="E58" s="374"/>
      <c r="F58" s="375"/>
      <c r="G58" s="376">
        <v>0</v>
      </c>
      <c r="H58" s="376">
        <v>0</v>
      </c>
      <c r="I58" s="376">
        <v>0</v>
      </c>
      <c r="J58" s="373">
        <v>0</v>
      </c>
      <c r="K58" s="377">
        <v>0</v>
      </c>
      <c r="L58" s="378"/>
    </row>
    <row r="59" spans="1:13" ht="19.5" thickBot="1">
      <c r="A59" s="394">
        <v>19</v>
      </c>
      <c r="B59" s="380" t="s">
        <v>77</v>
      </c>
      <c r="C59" s="383" t="s">
        <v>47</v>
      </c>
      <c r="D59" s="384">
        <v>10</v>
      </c>
      <c r="E59" s="374"/>
      <c r="F59" s="375"/>
      <c r="G59" s="376">
        <v>6</v>
      </c>
      <c r="H59" s="376">
        <v>0</v>
      </c>
      <c r="I59" s="376">
        <v>2</v>
      </c>
      <c r="J59" s="373">
        <v>8</v>
      </c>
      <c r="K59" s="377">
        <f>J59/D59</f>
        <v>0.8</v>
      </c>
      <c r="L59" s="378"/>
    </row>
    <row r="60" spans="1:13" ht="19.5" thickBot="1">
      <c r="A60" s="394"/>
      <c r="B60" s="380"/>
      <c r="C60" s="383" t="s">
        <v>21</v>
      </c>
      <c r="D60" s="384">
        <v>1.5</v>
      </c>
      <c r="E60" s="374"/>
      <c r="F60" s="375"/>
      <c r="G60" s="376">
        <v>8.14</v>
      </c>
      <c r="H60" s="376">
        <v>0</v>
      </c>
      <c r="I60" s="376">
        <v>2.2939999999999996</v>
      </c>
      <c r="J60" s="373">
        <v>10.434000000000001</v>
      </c>
      <c r="K60" s="377">
        <f>J60/D60</f>
        <v>6.9560000000000004</v>
      </c>
      <c r="L60" s="378"/>
    </row>
    <row r="61" spans="1:13" ht="38.25" thickBot="1">
      <c r="A61" s="394">
        <v>20</v>
      </c>
      <c r="B61" s="398" t="s">
        <v>78</v>
      </c>
      <c r="C61" s="383" t="s">
        <v>79</v>
      </c>
      <c r="D61" s="384">
        <v>0</v>
      </c>
      <c r="E61" s="374"/>
      <c r="F61" s="375"/>
      <c r="G61" s="376">
        <v>0</v>
      </c>
      <c r="H61" s="376">
        <v>0</v>
      </c>
      <c r="I61" s="376">
        <v>0</v>
      </c>
      <c r="J61" s="373">
        <v>0</v>
      </c>
      <c r="K61" s="377">
        <v>0</v>
      </c>
      <c r="L61" s="378"/>
    </row>
    <row r="62" spans="1:13" ht="19.5" thickBot="1">
      <c r="A62" s="394"/>
      <c r="B62" s="380"/>
      <c r="C62" s="383" t="s">
        <v>21</v>
      </c>
      <c r="D62" s="384">
        <v>0</v>
      </c>
      <c r="E62" s="374"/>
      <c r="F62" s="375"/>
      <c r="G62" s="376">
        <v>0</v>
      </c>
      <c r="H62" s="376">
        <v>0</v>
      </c>
      <c r="I62" s="376">
        <v>0</v>
      </c>
      <c r="J62" s="373">
        <v>0</v>
      </c>
      <c r="K62" s="377">
        <v>0</v>
      </c>
      <c r="L62" s="378"/>
    </row>
    <row r="63" spans="1:13" ht="38.25" thickBot="1">
      <c r="A63" s="394">
        <v>21</v>
      </c>
      <c r="B63" s="398" t="s">
        <v>80</v>
      </c>
      <c r="C63" s="383" t="s">
        <v>24</v>
      </c>
      <c r="D63" s="384">
        <v>1.8181818181818181</v>
      </c>
      <c r="E63" s="374"/>
      <c r="F63" s="375"/>
      <c r="G63" s="376">
        <v>0</v>
      </c>
      <c r="H63" s="376">
        <v>0</v>
      </c>
      <c r="I63" s="376">
        <v>0</v>
      </c>
      <c r="J63" s="373">
        <v>0</v>
      </c>
      <c r="K63" s="377">
        <f>J63/D63</f>
        <v>0</v>
      </c>
      <c r="L63" s="378"/>
    </row>
    <row r="64" spans="1:13" s="362" customFormat="1" ht="19.5" thickBot="1">
      <c r="A64" s="394"/>
      <c r="B64" s="380"/>
      <c r="C64" s="383" t="s">
        <v>21</v>
      </c>
      <c r="D64" s="384">
        <v>2000</v>
      </c>
      <c r="E64" s="374"/>
      <c r="F64" s="375"/>
      <c r="G64" s="376">
        <v>0</v>
      </c>
      <c r="H64" s="376">
        <v>0</v>
      </c>
      <c r="I64" s="376">
        <v>0</v>
      </c>
      <c r="J64" s="373">
        <v>0</v>
      </c>
      <c r="K64" s="377">
        <f>J64/D64</f>
        <v>0</v>
      </c>
      <c r="L64" s="378"/>
    </row>
    <row r="65" spans="1:13" s="404" customFormat="1" ht="19.5" thickBot="1">
      <c r="A65" s="401" t="s">
        <v>81</v>
      </c>
      <c r="B65" s="402" t="s">
        <v>82</v>
      </c>
      <c r="C65" s="401" t="s">
        <v>21</v>
      </c>
      <c r="D65" s="403">
        <v>33260</v>
      </c>
      <c r="E65" s="374"/>
      <c r="F65" s="375"/>
      <c r="G65" s="376">
        <v>2650.5645</v>
      </c>
      <c r="H65" s="376">
        <v>996.37700000000007</v>
      </c>
      <c r="I65" s="376">
        <v>398.60299999999995</v>
      </c>
      <c r="J65" s="373">
        <v>4552.8914999999997</v>
      </c>
      <c r="K65" s="377">
        <f>J65/D65</f>
        <v>0.13688789837642815</v>
      </c>
      <c r="L65" s="378"/>
    </row>
    <row r="66" spans="1:13" ht="18.75" customHeight="1" thickBot="1">
      <c r="A66" s="394">
        <v>18</v>
      </c>
      <c r="B66" s="380" t="s">
        <v>83</v>
      </c>
      <c r="C66" s="383" t="s">
        <v>51</v>
      </c>
      <c r="D66" s="384">
        <v>17.100000000000001</v>
      </c>
      <c r="E66" s="374"/>
      <c r="F66" s="375"/>
      <c r="G66" s="376">
        <v>1.8980499999999998</v>
      </c>
      <c r="H66" s="376">
        <v>0.50114999999999998</v>
      </c>
      <c r="I66" s="376">
        <v>0.28225</v>
      </c>
      <c r="J66" s="373">
        <v>3.0115499999999997</v>
      </c>
      <c r="K66" s="377"/>
      <c r="L66" s="378"/>
      <c r="M66" s="363"/>
    </row>
    <row r="67" spans="1:13" ht="19.5" thickBot="1">
      <c r="A67" s="383"/>
      <c r="B67" s="380" t="s">
        <v>84</v>
      </c>
      <c r="C67" s="383" t="s">
        <v>21</v>
      </c>
      <c r="D67" s="384">
        <v>29460</v>
      </c>
      <c r="E67" s="374"/>
      <c r="F67" s="375"/>
      <c r="G67" s="376">
        <v>1857.2194999999999</v>
      </c>
      <c r="H67" s="376">
        <v>966.03000000000009</v>
      </c>
      <c r="I67" s="376">
        <v>345.48499999999996</v>
      </c>
      <c r="J67" s="373">
        <v>3581.2804999999998</v>
      </c>
      <c r="K67" s="377">
        <f>J67/D67</f>
        <v>0.12156417175831635</v>
      </c>
      <c r="L67" s="378"/>
      <c r="M67" s="363"/>
    </row>
    <row r="68" spans="1:13" ht="19.5" thickBot="1">
      <c r="A68" s="405" t="s">
        <v>85</v>
      </c>
      <c r="B68" s="383" t="s">
        <v>86</v>
      </c>
      <c r="C68" s="383" t="s">
        <v>87</v>
      </c>
      <c r="D68" s="384">
        <v>5</v>
      </c>
      <c r="E68" s="374"/>
      <c r="F68" s="375"/>
      <c r="G68" s="376">
        <v>0.126</v>
      </c>
      <c r="H68" s="376">
        <v>1.32E-2</v>
      </c>
      <c r="I68" s="376">
        <v>6.2000000000000006E-2</v>
      </c>
      <c r="J68" s="373">
        <v>0.24949999999999997</v>
      </c>
      <c r="K68" s="377"/>
      <c r="L68" s="378"/>
      <c r="M68" s="363"/>
    </row>
    <row r="69" spans="1:13" ht="19.5" thickBot="1">
      <c r="A69" s="383"/>
      <c r="B69" s="383"/>
      <c r="C69" s="383" t="s">
        <v>21</v>
      </c>
      <c r="D69" s="384">
        <v>8500</v>
      </c>
      <c r="E69" s="374"/>
      <c r="F69" s="375"/>
      <c r="G69" s="376">
        <v>107.29300000000002</v>
      </c>
      <c r="H69" s="376">
        <v>9.5259999999999998</v>
      </c>
      <c r="I69" s="376">
        <v>35.556999999999995</v>
      </c>
      <c r="J69" s="373">
        <v>198.00800000000004</v>
      </c>
      <c r="K69" s="377">
        <f>J69/D69</f>
        <v>2.3295058823529415E-2</v>
      </c>
      <c r="L69" s="378"/>
      <c r="M69" s="363"/>
    </row>
    <row r="70" spans="1:13" ht="19.5" thickBot="1">
      <c r="A70" s="405" t="s">
        <v>88</v>
      </c>
      <c r="B70" s="383" t="s">
        <v>89</v>
      </c>
      <c r="C70" s="383" t="s">
        <v>51</v>
      </c>
      <c r="D70" s="384">
        <v>4.9000000000000004</v>
      </c>
      <c r="E70" s="374"/>
      <c r="F70" s="375"/>
      <c r="G70" s="376">
        <v>0.74890000000000001</v>
      </c>
      <c r="H70" s="376">
        <v>3.1899999999999998E-2</v>
      </c>
      <c r="I70" s="376">
        <v>7.9500000000000001E-2</v>
      </c>
      <c r="J70" s="373">
        <v>0.93330000000000002</v>
      </c>
      <c r="K70" s="377"/>
      <c r="L70" s="378"/>
      <c r="M70" s="363"/>
    </row>
    <row r="71" spans="1:13" ht="19.5" thickBot="1">
      <c r="A71" s="383"/>
      <c r="B71" s="383"/>
      <c r="C71" s="383" t="s">
        <v>21</v>
      </c>
      <c r="D71" s="384">
        <v>8330</v>
      </c>
      <c r="E71" s="374"/>
      <c r="F71" s="375"/>
      <c r="G71" s="376">
        <v>633.28800000000001</v>
      </c>
      <c r="H71" s="376">
        <v>26.17</v>
      </c>
      <c r="I71" s="376">
        <v>68.119</v>
      </c>
      <c r="J71" s="373">
        <v>782.995</v>
      </c>
      <c r="K71" s="377">
        <f>J71/D71</f>
        <v>9.399699879951981E-2</v>
      </c>
      <c r="L71" s="378"/>
      <c r="M71" s="363"/>
    </row>
    <row r="72" spans="1:13" ht="19.5" thickBot="1">
      <c r="A72" s="405" t="s">
        <v>90</v>
      </c>
      <c r="B72" s="383" t="s">
        <v>91</v>
      </c>
      <c r="C72" s="383" t="s">
        <v>51</v>
      </c>
      <c r="D72" s="384">
        <v>3.3</v>
      </c>
      <c r="E72" s="374"/>
      <c r="F72" s="375"/>
      <c r="G72" s="376">
        <v>0.75739999999999974</v>
      </c>
      <c r="H72" s="376">
        <v>1.2999999999999999E-2</v>
      </c>
      <c r="I72" s="376">
        <v>5.7100000000000005E-2</v>
      </c>
      <c r="J72" s="373">
        <v>0.86949999999999972</v>
      </c>
      <c r="K72" s="377"/>
      <c r="L72" s="378"/>
      <c r="M72" s="363"/>
    </row>
    <row r="73" spans="1:13" ht="19.5" thickBot="1">
      <c r="A73" s="383"/>
      <c r="B73" s="383"/>
      <c r="C73" s="383" t="s">
        <v>21</v>
      </c>
      <c r="D73" s="384">
        <v>5610</v>
      </c>
      <c r="E73" s="374"/>
      <c r="F73" s="375"/>
      <c r="G73" s="376">
        <v>685.11199999999997</v>
      </c>
      <c r="H73" s="376">
        <v>11.418000000000001</v>
      </c>
      <c r="I73" s="376">
        <v>51.927</v>
      </c>
      <c r="J73" s="373">
        <v>786.87999999999988</v>
      </c>
      <c r="K73" s="377">
        <f>J73/D73</f>
        <v>0.14026381461675577</v>
      </c>
      <c r="L73" s="378"/>
      <c r="M73" s="363"/>
    </row>
    <row r="74" spans="1:13" ht="19.5" thickBot="1">
      <c r="A74" s="405" t="s">
        <v>92</v>
      </c>
      <c r="B74" s="383" t="s">
        <v>93</v>
      </c>
      <c r="C74" s="383" t="s">
        <v>51</v>
      </c>
      <c r="D74" s="384">
        <v>3.9</v>
      </c>
      <c r="E74" s="374"/>
      <c r="F74" s="375"/>
      <c r="G74" s="376">
        <v>0.26575000000000004</v>
      </c>
      <c r="H74" s="376">
        <v>0.44305</v>
      </c>
      <c r="I74" s="376">
        <v>8.3650000000000002E-2</v>
      </c>
      <c r="J74" s="373">
        <v>0.95925000000000005</v>
      </c>
      <c r="K74" s="377"/>
      <c r="L74" s="378"/>
      <c r="M74" s="363"/>
    </row>
    <row r="75" spans="1:13" ht="19.5" thickBot="1">
      <c r="A75" s="383"/>
      <c r="B75" s="383"/>
      <c r="C75" s="383" t="s">
        <v>21</v>
      </c>
      <c r="D75" s="384">
        <v>7020</v>
      </c>
      <c r="E75" s="374"/>
      <c r="F75" s="375"/>
      <c r="G75" s="376">
        <v>431.52650000000006</v>
      </c>
      <c r="H75" s="376">
        <v>918.91600000000005</v>
      </c>
      <c r="I75" s="376">
        <v>189.88199999999998</v>
      </c>
      <c r="J75" s="373">
        <v>1813.3975</v>
      </c>
      <c r="K75" s="377">
        <f>J75/D75</f>
        <v>0.25831873219373219</v>
      </c>
      <c r="L75" s="378"/>
      <c r="M75" s="363"/>
    </row>
    <row r="76" spans="1:13" ht="19.5" thickBot="1">
      <c r="A76" s="394">
        <v>19</v>
      </c>
      <c r="B76" s="380" t="s">
        <v>94</v>
      </c>
      <c r="C76" s="383" t="s">
        <v>47</v>
      </c>
      <c r="D76" s="384">
        <v>300</v>
      </c>
      <c r="E76" s="374"/>
      <c r="F76" s="375"/>
      <c r="G76" s="376">
        <v>77</v>
      </c>
      <c r="H76" s="376">
        <v>2</v>
      </c>
      <c r="I76" s="376">
        <v>5</v>
      </c>
      <c r="J76" s="373">
        <v>90</v>
      </c>
      <c r="K76" s="377"/>
      <c r="L76" s="378"/>
      <c r="M76" s="363"/>
    </row>
    <row r="77" spans="1:13" ht="19.5" thickBot="1">
      <c r="A77" s="383"/>
      <c r="B77" s="383"/>
      <c r="C77" s="383" t="s">
        <v>21</v>
      </c>
      <c r="D77" s="384">
        <v>2000</v>
      </c>
      <c r="E77" s="374"/>
      <c r="F77" s="375"/>
      <c r="G77" s="376">
        <v>470.81799999999998</v>
      </c>
      <c r="H77" s="376">
        <v>14.379999999999999</v>
      </c>
      <c r="I77" s="376">
        <v>26.640999999999998</v>
      </c>
      <c r="J77" s="373">
        <v>552.02099999999996</v>
      </c>
      <c r="K77" s="377">
        <f>J77/D77</f>
        <v>0.27601049999999999</v>
      </c>
      <c r="L77" s="378"/>
      <c r="M77" s="363"/>
    </row>
    <row r="78" spans="1:13" ht="19.5" thickBot="1">
      <c r="A78" s="383" t="s">
        <v>95</v>
      </c>
      <c r="B78" s="380" t="s">
        <v>96</v>
      </c>
      <c r="C78" s="383" t="s">
        <v>47</v>
      </c>
      <c r="D78" s="384">
        <v>1400</v>
      </c>
      <c r="E78" s="374"/>
      <c r="F78" s="375"/>
      <c r="G78" s="376">
        <v>373</v>
      </c>
      <c r="H78" s="376">
        <v>26</v>
      </c>
      <c r="I78" s="376">
        <v>38</v>
      </c>
      <c r="J78" s="373">
        <v>466</v>
      </c>
      <c r="K78" s="377">
        <f>J78/D78</f>
        <v>0.33285714285714285</v>
      </c>
      <c r="L78" s="378"/>
      <c r="M78" s="363"/>
    </row>
    <row r="79" spans="1:13" ht="19.5" thickBot="1">
      <c r="A79" s="406"/>
      <c r="B79" s="380" t="s">
        <v>97</v>
      </c>
      <c r="C79" s="383" t="s">
        <v>21</v>
      </c>
      <c r="D79" s="384">
        <v>1800</v>
      </c>
      <c r="E79" s="374"/>
      <c r="F79" s="375"/>
      <c r="G79" s="376">
        <v>322.52699999999993</v>
      </c>
      <c r="H79" s="376">
        <v>15.967000000000002</v>
      </c>
      <c r="I79" s="376">
        <v>26.477000000000004</v>
      </c>
      <c r="J79" s="373">
        <v>419.58999999999992</v>
      </c>
      <c r="K79" s="377">
        <f>J79/D79</f>
        <v>0.23310555555555551</v>
      </c>
      <c r="L79" s="378"/>
      <c r="M79" s="363"/>
    </row>
    <row r="80" spans="1:13" s="404" customFormat="1" ht="19.5" thickBot="1">
      <c r="A80" s="401" t="s">
        <v>98</v>
      </c>
      <c r="B80" s="402" t="s">
        <v>99</v>
      </c>
      <c r="C80" s="401" t="s">
        <v>21</v>
      </c>
      <c r="D80" s="403">
        <v>3800</v>
      </c>
      <c r="E80" s="374"/>
      <c r="F80" s="375"/>
      <c r="G80" s="376">
        <v>964.83999999999958</v>
      </c>
      <c r="H80" s="376">
        <v>388.34500000000003</v>
      </c>
      <c r="I80" s="376">
        <v>935.35200000000009</v>
      </c>
      <c r="J80" s="373">
        <v>2569.1259999999993</v>
      </c>
      <c r="K80" s="377">
        <f>J80/D80</f>
        <v>0.67608578947368403</v>
      </c>
      <c r="L80" s="378"/>
      <c r="M80" s="407"/>
    </row>
    <row r="81" spans="1:13" ht="19.5" thickBot="1">
      <c r="A81" s="394">
        <v>20</v>
      </c>
      <c r="B81" s="380" t="s">
        <v>100</v>
      </c>
      <c r="C81" s="383" t="s">
        <v>51</v>
      </c>
      <c r="D81" s="384">
        <v>3.5</v>
      </c>
      <c r="E81" s="374"/>
      <c r="F81" s="375"/>
      <c r="G81" s="376">
        <v>0.54500000000000004</v>
      </c>
      <c r="H81" s="376">
        <v>0.41300000000000003</v>
      </c>
      <c r="I81" s="376">
        <v>0.68500000000000005</v>
      </c>
      <c r="J81" s="373">
        <v>1.9270000000000003</v>
      </c>
      <c r="K81" s="377"/>
      <c r="L81" s="378"/>
    </row>
    <row r="82" spans="1:13" ht="19.5" thickBot="1">
      <c r="A82" s="408"/>
      <c r="B82" s="380" t="s">
        <v>101</v>
      </c>
      <c r="C82" s="383" t="s">
        <v>21</v>
      </c>
      <c r="D82" s="384">
        <v>600</v>
      </c>
      <c r="E82" s="374"/>
      <c r="F82" s="375"/>
      <c r="G82" s="376">
        <v>73.272999999999996</v>
      </c>
      <c r="H82" s="376">
        <v>72.711999999999989</v>
      </c>
      <c r="I82" s="376">
        <v>164.709</v>
      </c>
      <c r="J82" s="373">
        <v>343.89599999999996</v>
      </c>
      <c r="K82" s="377">
        <f>J82/D82</f>
        <v>0.57315999999999989</v>
      </c>
      <c r="L82" s="378"/>
    </row>
    <row r="83" spans="1:13" ht="19.5" thickBot="1">
      <c r="A83" s="394">
        <v>21</v>
      </c>
      <c r="B83" s="380" t="s">
        <v>102</v>
      </c>
      <c r="C83" s="383" t="s">
        <v>47</v>
      </c>
      <c r="D83" s="384">
        <v>2000</v>
      </c>
      <c r="E83" s="374"/>
      <c r="F83" s="375"/>
      <c r="G83" s="376">
        <v>814</v>
      </c>
      <c r="H83" s="376">
        <v>137</v>
      </c>
      <c r="I83" s="376">
        <v>636</v>
      </c>
      <c r="J83" s="373">
        <v>1843</v>
      </c>
      <c r="K83" s="377"/>
      <c r="L83" s="378"/>
    </row>
    <row r="84" spans="1:13" ht="19.5" thickBot="1">
      <c r="A84" s="408"/>
      <c r="B84" s="380" t="s">
        <v>103</v>
      </c>
      <c r="C84" s="383" t="s">
        <v>21</v>
      </c>
      <c r="D84" s="384">
        <v>1900</v>
      </c>
      <c r="E84" s="374"/>
      <c r="F84" s="375"/>
      <c r="G84" s="376">
        <v>812.96199999999965</v>
      </c>
      <c r="H84" s="376">
        <v>92.513000000000005</v>
      </c>
      <c r="I84" s="376">
        <v>652.53800000000001</v>
      </c>
      <c r="J84" s="373">
        <v>1776.0279999999996</v>
      </c>
      <c r="K84" s="377">
        <f>J84/D84</f>
        <v>0.93475157894736816</v>
      </c>
      <c r="L84" s="378"/>
    </row>
    <row r="85" spans="1:13" ht="19.5" thickBot="1">
      <c r="A85" s="383" t="s">
        <v>104</v>
      </c>
      <c r="B85" s="380" t="s">
        <v>105</v>
      </c>
      <c r="C85" s="383" t="s">
        <v>47</v>
      </c>
      <c r="D85" s="384">
        <v>300</v>
      </c>
      <c r="E85" s="374"/>
      <c r="F85" s="375"/>
      <c r="G85" s="376">
        <v>17</v>
      </c>
      <c r="H85" s="376">
        <v>43</v>
      </c>
      <c r="I85" s="376">
        <v>40</v>
      </c>
      <c r="J85" s="373">
        <v>118</v>
      </c>
      <c r="K85" s="377"/>
      <c r="L85" s="378"/>
    </row>
    <row r="86" spans="1:13" ht="19.5" thickBot="1">
      <c r="A86" s="383"/>
      <c r="B86" s="380"/>
      <c r="C86" s="383" t="s">
        <v>21</v>
      </c>
      <c r="D86" s="384">
        <v>2524</v>
      </c>
      <c r="E86" s="374"/>
      <c r="F86" s="375"/>
      <c r="G86" s="376">
        <v>78.60499999999999</v>
      </c>
      <c r="H86" s="376">
        <v>223.12</v>
      </c>
      <c r="I86" s="376">
        <v>118.10499999999998</v>
      </c>
      <c r="J86" s="373">
        <v>449.202</v>
      </c>
      <c r="K86" s="377">
        <f>J86/D86</f>
        <v>0.17797226624405704</v>
      </c>
      <c r="L86" s="378"/>
    </row>
    <row r="87" spans="1:13" s="404" customFormat="1" ht="38.25" customHeight="1" thickBot="1">
      <c r="A87" s="409" t="s">
        <v>106</v>
      </c>
      <c r="B87" s="410" t="s">
        <v>107</v>
      </c>
      <c r="C87" s="409" t="s">
        <v>21</v>
      </c>
      <c r="D87" s="411">
        <v>1224</v>
      </c>
      <c r="E87" s="374"/>
      <c r="F87" s="375"/>
      <c r="G87" s="376">
        <v>0</v>
      </c>
      <c r="H87" s="376">
        <v>0</v>
      </c>
      <c r="I87" s="376">
        <v>0</v>
      </c>
      <c r="J87" s="373">
        <v>0</v>
      </c>
      <c r="K87" s="377">
        <f>J87/D87</f>
        <v>0</v>
      </c>
      <c r="L87" s="378"/>
      <c r="M87" s="407"/>
    </row>
    <row r="88" spans="1:13" ht="19.5" thickBot="1">
      <c r="A88" s="383" t="s">
        <v>108</v>
      </c>
      <c r="B88" s="380" t="s">
        <v>281</v>
      </c>
      <c r="C88" s="383" t="s">
        <v>21</v>
      </c>
      <c r="D88" s="384">
        <v>1224</v>
      </c>
      <c r="E88" s="374"/>
      <c r="F88" s="375"/>
      <c r="G88" s="376">
        <v>0</v>
      </c>
      <c r="H88" s="376">
        <v>0</v>
      </c>
      <c r="I88" s="376">
        <v>0</v>
      </c>
      <c r="J88" s="373">
        <v>0</v>
      </c>
      <c r="K88" s="377">
        <v>0</v>
      </c>
      <c r="L88" s="378"/>
    </row>
    <row r="89" spans="1:13" ht="19.5" thickBot="1">
      <c r="A89" s="383" t="s">
        <v>109</v>
      </c>
      <c r="B89" s="380" t="s">
        <v>282</v>
      </c>
      <c r="C89" s="383" t="s">
        <v>21</v>
      </c>
      <c r="D89" s="384">
        <v>0</v>
      </c>
      <c r="E89" s="374"/>
      <c r="F89" s="375"/>
      <c r="G89" s="376">
        <v>0</v>
      </c>
      <c r="H89" s="376">
        <v>0</v>
      </c>
      <c r="I89" s="376">
        <v>0</v>
      </c>
      <c r="J89" s="373">
        <v>0</v>
      </c>
      <c r="K89" s="377">
        <v>0</v>
      </c>
      <c r="L89" s="378"/>
    </row>
    <row r="90" spans="1:13" s="404" customFormat="1" ht="19.5" thickBot="1">
      <c r="A90" s="401" t="s">
        <v>110</v>
      </c>
      <c r="B90" s="402" t="s">
        <v>111</v>
      </c>
      <c r="C90" s="401" t="s">
        <v>21</v>
      </c>
      <c r="D90" s="403">
        <v>17274.141999999993</v>
      </c>
      <c r="E90" s="374"/>
      <c r="F90" s="375"/>
      <c r="G90" s="376">
        <v>249.72499999999999</v>
      </c>
      <c r="H90" s="376">
        <v>83.692000000000021</v>
      </c>
      <c r="I90" s="376">
        <v>107.879</v>
      </c>
      <c r="J90" s="373">
        <v>635.96199999999999</v>
      </c>
      <c r="K90" s="377">
        <f>J90/D90</f>
        <v>3.6815837220743018E-2</v>
      </c>
      <c r="L90" s="378"/>
      <c r="M90" s="407"/>
    </row>
    <row r="91" spans="1:13">
      <c r="A91" s="395"/>
      <c r="B91" s="380" t="s">
        <v>112</v>
      </c>
      <c r="C91" s="383" t="s">
        <v>21</v>
      </c>
      <c r="D91" s="384">
        <v>112930.90789999999</v>
      </c>
      <c r="E91" s="374"/>
      <c r="F91" s="375"/>
      <c r="G91" s="376">
        <v>5854.3485000000001</v>
      </c>
      <c r="H91" s="376">
        <v>2372.7730000000001</v>
      </c>
      <c r="I91" s="376">
        <v>1986.6610000000001</v>
      </c>
      <c r="J91" s="373">
        <v>12218.639500000001</v>
      </c>
      <c r="K91" s="377">
        <f>J91/D91</f>
        <v>0.10819570768721326</v>
      </c>
      <c r="L91" s="378"/>
      <c r="M91" s="412"/>
    </row>
    <row r="92" spans="1:13" s="416" customFormat="1">
      <c r="A92" s="413"/>
      <c r="B92" s="414"/>
      <c r="C92" s="414"/>
      <c r="D92" s="414" t="e">
        <f>80648.727-#REF!</f>
        <v>#REF!</v>
      </c>
      <c r="E92" s="414"/>
      <c r="F92" s="414"/>
      <c r="G92" s="414"/>
      <c r="H92" s="414"/>
      <c r="I92" s="414"/>
      <c r="J92" s="414"/>
      <c r="K92" s="415"/>
    </row>
    <row r="93" spans="1:13" s="416" customFormat="1">
      <c r="A93" s="417"/>
      <c r="B93" s="417"/>
      <c r="C93" s="417"/>
      <c r="D93" s="417"/>
      <c r="E93" s="417"/>
      <c r="F93" s="417"/>
      <c r="G93" s="417"/>
      <c r="H93" s="417"/>
      <c r="I93" s="417"/>
      <c r="J93" s="417"/>
      <c r="K93" s="415"/>
    </row>
    <row r="94" spans="1:13" s="362" customFormat="1">
      <c r="A94" s="361"/>
      <c r="K94" s="361"/>
    </row>
    <row r="95" spans="1:13" s="362" customFormat="1">
      <c r="A95" s="361"/>
      <c r="K95" s="361"/>
    </row>
    <row r="96" spans="1:13" s="362" customFormat="1">
      <c r="A96" s="418" t="s">
        <v>189</v>
      </c>
      <c r="B96" s="418"/>
      <c r="C96" s="418"/>
      <c r="D96" s="418"/>
      <c r="K96" s="361"/>
    </row>
    <row r="99" ht="6" customHeight="1"/>
  </sheetData>
  <mergeCells count="3">
    <mergeCell ref="A7:A9"/>
    <mergeCell ref="A3:D3"/>
    <mergeCell ref="A2:D2"/>
  </mergeCells>
  <pageMargins left="0" right="0" top="0.74803149606299213" bottom="0.35433070866141736" header="0.31496062992125984" footer="0.31496062992125984"/>
  <pageSetup paperSize="9" scale="70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V163"/>
  <sheetViews>
    <sheetView topLeftCell="A65" zoomScale="70" zoomScaleNormal="70" workbookViewId="0">
      <selection activeCell="D13" sqref="D13:D98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1.85546875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210</v>
      </c>
      <c r="U6" s="1755"/>
      <c r="V6" s="1755"/>
      <c r="W6" s="1755"/>
      <c r="X6" s="1755"/>
    </row>
    <row r="7" spans="1:27" ht="53.25" customHeight="1">
      <c r="A7" s="1754" t="s">
        <v>201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4"/>
      <c r="V7" s="1754"/>
      <c r="W7" s="1754"/>
      <c r="X7" s="1754"/>
    </row>
    <row r="8" spans="1:27" ht="18.75">
      <c r="A8" s="499" t="s">
        <v>190</v>
      </c>
      <c r="B8" s="1901" t="s">
        <v>295</v>
      </c>
      <c r="C8" s="1901"/>
      <c r="D8" s="1901"/>
      <c r="E8" s="1901"/>
      <c r="F8" s="1901"/>
      <c r="G8" s="1901"/>
      <c r="H8" s="1901"/>
      <c r="I8" s="1901"/>
      <c r="J8" s="1901"/>
      <c r="K8" s="1901"/>
      <c r="L8" s="1901"/>
      <c r="M8" s="1901"/>
      <c r="N8" s="1901"/>
      <c r="O8" s="1901"/>
      <c r="P8" s="1901"/>
      <c r="Q8" s="499"/>
      <c r="R8" s="499"/>
      <c r="S8" s="499"/>
      <c r="T8" s="499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57372.765899999999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51694.375899999999</v>
      </c>
      <c r="I13" s="41">
        <f>I16+I23+I34+I36+I39+I41+I43+I45+I47+I49+I51+I53+I55+I57+I59+I61+I63+I65+I67+I69+I71</f>
        <v>23494.819499999998</v>
      </c>
      <c r="J13" s="41">
        <f>J16+J23+J34+J36+J39+J41+J43+J45+J47+J49+J51+J53+J55+J57+J59+J61+J63+J65+J67+J69+J71</f>
        <v>28199.556399999998</v>
      </c>
      <c r="K13" s="41">
        <f>L13+M13</f>
        <v>5678.39</v>
      </c>
      <c r="L13" s="41">
        <f>L16+L23+L34+L36+L39+L41+L43+L45+L47+L49+L51+L53+L55+L57+L59+L61+L63+L65+L67+L69+L71</f>
        <v>716.8900000000001</v>
      </c>
      <c r="M13" s="41">
        <f>M16+M23+M34+M36+M39+M41+M43+M45+M47+M49+M51+M53+M55+M57+M59+M61+M63+M65+M67+M69+M71</f>
        <v>4961.5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78</v>
      </c>
      <c r="E14" s="46"/>
      <c r="F14" s="46"/>
      <c r="G14" s="47"/>
      <c r="H14" s="48">
        <f t="shared" ref="H14:H77" si="1">I14+J14</f>
        <v>69</v>
      </c>
      <c r="I14" s="16">
        <v>69</v>
      </c>
      <c r="J14" s="16">
        <v>0</v>
      </c>
      <c r="K14" s="49">
        <f t="shared" ref="K14:K77" si="2">L14+M14</f>
        <v>9</v>
      </c>
      <c r="L14" s="16">
        <v>9</v>
      </c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3.9447000000000001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3.2983000000000002</v>
      </c>
      <c r="I15" s="18">
        <f>I17+I19</f>
        <v>3.2983000000000002</v>
      </c>
      <c r="J15" s="18">
        <f>J17+J19</f>
        <v>0</v>
      </c>
      <c r="K15" s="49">
        <f t="shared" si="2"/>
        <v>0.64639999999999997</v>
      </c>
      <c r="L15" s="18">
        <f>L17+L19</f>
        <v>0.64639999999999997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1927.7079999999996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1539.8679999999997</v>
      </c>
      <c r="I16" s="18">
        <f>I18+I20+I21</f>
        <v>1539.8679999999997</v>
      </c>
      <c r="J16" s="18">
        <f>J18+J20+J21</f>
        <v>0</v>
      </c>
      <c r="K16" s="49">
        <f t="shared" si="2"/>
        <v>387.84</v>
      </c>
      <c r="L16" s="18">
        <f>L18+L20+L21</f>
        <v>387.84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1.4177</v>
      </c>
      <c r="E17" s="57">
        <f>F17+G17</f>
        <v>0</v>
      </c>
      <c r="F17" s="62"/>
      <c r="G17" s="63"/>
      <c r="H17" s="48">
        <f t="shared" si="1"/>
        <v>1.4177</v>
      </c>
      <c r="I17" s="261">
        <v>1.4177</v>
      </c>
      <c r="J17" s="20">
        <v>0</v>
      </c>
      <c r="K17" s="49">
        <f t="shared" si="2"/>
        <v>0</v>
      </c>
      <c r="L17" s="20"/>
      <c r="M17" s="20"/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411.50799999999987</v>
      </c>
      <c r="E18" s="57">
        <f>F18+G18</f>
        <v>0</v>
      </c>
      <c r="F18" s="62"/>
      <c r="G18" s="63"/>
      <c r="H18" s="48">
        <f t="shared" si="1"/>
        <v>411.50799999999987</v>
      </c>
      <c r="I18" s="20">
        <v>411.50799999999987</v>
      </c>
      <c r="J18" s="20">
        <v>0</v>
      </c>
      <c r="K18" s="49">
        <f t="shared" si="2"/>
        <v>0</v>
      </c>
      <c r="L18" s="20"/>
      <c r="M18" s="20"/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2.5270000000000001</v>
      </c>
      <c r="E19" s="57">
        <f>F19+G19</f>
        <v>0</v>
      </c>
      <c r="F19" s="62"/>
      <c r="G19" s="63"/>
      <c r="H19" s="48">
        <f t="shared" si="1"/>
        <v>1.8806000000000003</v>
      </c>
      <c r="I19" s="28">
        <v>1.8806000000000003</v>
      </c>
      <c r="J19" s="20"/>
      <c r="K19" s="49">
        <f t="shared" si="2"/>
        <v>0.64639999999999997</v>
      </c>
      <c r="L19" s="20">
        <v>0.64639999999999997</v>
      </c>
      <c r="M19" s="20"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1516.1999999999998</v>
      </c>
      <c r="E20" s="72">
        <f>F20+G20</f>
        <v>0</v>
      </c>
      <c r="F20" s="73"/>
      <c r="G20" s="74"/>
      <c r="H20" s="48">
        <f t="shared" si="1"/>
        <v>1128.3599999999999</v>
      </c>
      <c r="I20" s="20">
        <v>1128.3599999999999</v>
      </c>
      <c r="J20" s="20"/>
      <c r="K20" s="49">
        <f t="shared" si="2"/>
        <v>387.84</v>
      </c>
      <c r="L20" s="20">
        <v>387.84</v>
      </c>
      <c r="M20" s="20"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6</v>
      </c>
      <c r="E22" s="85"/>
      <c r="F22" s="86"/>
      <c r="G22" s="87"/>
      <c r="H22" s="41">
        <f t="shared" si="1"/>
        <v>6</v>
      </c>
      <c r="I22" s="86"/>
      <c r="J22" s="86">
        <v>6</v>
      </c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1866.1920000000002</v>
      </c>
      <c r="E23" s="94"/>
      <c r="F23" s="95"/>
      <c r="G23" s="96"/>
      <c r="H23" s="41">
        <f t="shared" si="1"/>
        <v>1866.1920000000002</v>
      </c>
      <c r="I23" s="95">
        <f>I25+I27+I29+I31+I32</f>
        <v>0</v>
      </c>
      <c r="J23" s="95">
        <f>J25+J27+J29+J31+J32</f>
        <v>1866.1920000000002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227.12</v>
      </c>
      <c r="E24" s="57"/>
      <c r="F24" s="62"/>
      <c r="G24" s="63"/>
      <c r="H24" s="41">
        <f t="shared" si="1"/>
        <v>227.12</v>
      </c>
      <c r="I24" s="101"/>
      <c r="J24" s="101">
        <v>227.12</v>
      </c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1247.5320000000002</v>
      </c>
      <c r="E25" s="57"/>
      <c r="F25" s="62"/>
      <c r="G25" s="63"/>
      <c r="H25" s="41">
        <f t="shared" si="1"/>
        <v>1247.5320000000002</v>
      </c>
      <c r="I25" s="101"/>
      <c r="J25" s="101">
        <v>1247.5320000000002</v>
      </c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452</v>
      </c>
      <c r="E26" s="57"/>
      <c r="F26" s="62"/>
      <c r="G26" s="63"/>
      <c r="H26" s="41">
        <f t="shared" si="1"/>
        <v>452</v>
      </c>
      <c r="I26" s="101"/>
      <c r="J26" s="101">
        <v>452</v>
      </c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566.60500000000002</v>
      </c>
      <c r="E27" s="57"/>
      <c r="F27" s="62"/>
      <c r="G27" s="63"/>
      <c r="H27" s="41">
        <f t="shared" si="1"/>
        <v>566.60500000000002</v>
      </c>
      <c r="I27" s="101"/>
      <c r="J27" s="101">
        <v>566.60500000000002</v>
      </c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>
        <v>0</v>
      </c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>
        <v>0</v>
      </c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>
        <v>0</v>
      </c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>
        <v>0</v>
      </c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52.054999999999986</v>
      </c>
      <c r="E32" s="57"/>
      <c r="F32" s="62"/>
      <c r="G32" s="63"/>
      <c r="H32" s="41">
        <f t="shared" si="1"/>
        <v>52.054999999999986</v>
      </c>
      <c r="I32" s="101"/>
      <c r="J32" s="101">
        <v>52.054999999999986</v>
      </c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3.7</v>
      </c>
      <c r="E33" s="57">
        <f t="shared" ref="E33:E39" si="9">F33+G33</f>
        <v>0</v>
      </c>
      <c r="F33" s="62"/>
      <c r="G33" s="63"/>
      <c r="H33" s="41">
        <f t="shared" si="1"/>
        <v>3.7</v>
      </c>
      <c r="I33" s="62"/>
      <c r="J33" s="62">
        <v>3.7</v>
      </c>
      <c r="K33" s="41">
        <f t="shared" si="2"/>
        <v>0</v>
      </c>
      <c r="L33" s="62"/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2400</v>
      </c>
      <c r="E34" s="57">
        <f t="shared" si="9"/>
        <v>0</v>
      </c>
      <c r="F34" s="62"/>
      <c r="G34" s="63"/>
      <c r="H34" s="41">
        <f t="shared" si="1"/>
        <v>2400</v>
      </c>
      <c r="I34" s="62"/>
      <c r="J34" s="62">
        <v>2400</v>
      </c>
      <c r="K34" s="41">
        <f t="shared" si="2"/>
        <v>0</v>
      </c>
      <c r="L34" s="62"/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6.0336499999999873</v>
      </c>
      <c r="E35" s="57">
        <f t="shared" si="9"/>
        <v>0</v>
      </c>
      <c r="F35" s="62"/>
      <c r="G35" s="63"/>
      <c r="H35" s="41">
        <f t="shared" si="1"/>
        <v>5.8536499999999876</v>
      </c>
      <c r="I35" s="62">
        <v>5.8536499999999876</v>
      </c>
      <c r="J35" s="62">
        <v>0</v>
      </c>
      <c r="K35" s="41">
        <f t="shared" si="2"/>
        <v>0.18000000000000002</v>
      </c>
      <c r="L35" s="62">
        <v>0.18000000000000002</v>
      </c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10556.737500000001</v>
      </c>
      <c r="E36" s="57">
        <f t="shared" si="9"/>
        <v>0</v>
      </c>
      <c r="F36" s="62"/>
      <c r="G36" s="63"/>
      <c r="H36" s="41">
        <f t="shared" si="1"/>
        <v>10243.887500000001</v>
      </c>
      <c r="I36" s="62">
        <v>10243.887500000001</v>
      </c>
      <c r="J36" s="62">
        <v>0</v>
      </c>
      <c r="K36" s="41">
        <f t="shared" si="2"/>
        <v>312.85000000000002</v>
      </c>
      <c r="L36" s="62">
        <v>312.85000000000002</v>
      </c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64.735100000000031</v>
      </c>
      <c r="E37" s="57">
        <f t="shared" si="9"/>
        <v>0</v>
      </c>
      <c r="F37" s="62"/>
      <c r="G37" s="63"/>
      <c r="H37" s="41">
        <f t="shared" si="1"/>
        <v>53.735100000000031</v>
      </c>
      <c r="I37" s="62">
        <v>0</v>
      </c>
      <c r="J37" s="62">
        <v>53.735100000000031</v>
      </c>
      <c r="K37" s="41">
        <f t="shared" si="2"/>
        <v>11</v>
      </c>
      <c r="L37" s="62">
        <v>0</v>
      </c>
      <c r="M37" s="62">
        <v>11</v>
      </c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190</v>
      </c>
      <c r="E38" s="57">
        <f t="shared" si="9"/>
        <v>0</v>
      </c>
      <c r="F38" s="62"/>
      <c r="G38" s="63"/>
      <c r="H38" s="41">
        <f t="shared" si="1"/>
        <v>154</v>
      </c>
      <c r="I38" s="62">
        <v>0</v>
      </c>
      <c r="J38" s="62">
        <v>154</v>
      </c>
      <c r="K38" s="41">
        <f t="shared" si="2"/>
        <v>36</v>
      </c>
      <c r="L38" s="62">
        <v>0</v>
      </c>
      <c r="M38" s="62">
        <v>36</v>
      </c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28894.864399999999</v>
      </c>
      <c r="E39" s="72">
        <f t="shared" si="9"/>
        <v>0</v>
      </c>
      <c r="F39" s="73"/>
      <c r="G39" s="74"/>
      <c r="H39" s="41">
        <f t="shared" si="1"/>
        <v>23933.364399999999</v>
      </c>
      <c r="I39" s="62">
        <v>0</v>
      </c>
      <c r="J39" s="62">
        <v>23933.364399999999</v>
      </c>
      <c r="K39" s="41">
        <f t="shared" si="2"/>
        <v>4961.5</v>
      </c>
      <c r="L39" s="62">
        <v>0</v>
      </c>
      <c r="M39" s="62">
        <v>4961.5</v>
      </c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0.1</v>
      </c>
      <c r="E40" s="123"/>
      <c r="F40" s="133"/>
      <c r="G40" s="134"/>
      <c r="H40" s="41">
        <f t="shared" si="1"/>
        <v>0.1</v>
      </c>
      <c r="I40" s="62">
        <v>0.1</v>
      </c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40</v>
      </c>
      <c r="E41" s="121"/>
      <c r="F41" s="141"/>
      <c r="G41" s="142"/>
      <c r="H41" s="41">
        <f t="shared" si="1"/>
        <v>40</v>
      </c>
      <c r="I41" s="62">
        <f>I40*400</f>
        <v>40</v>
      </c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0.3</v>
      </c>
      <c r="E42" s="123"/>
      <c r="F42" s="133"/>
      <c r="G42" s="134"/>
      <c r="H42" s="41">
        <f t="shared" si="1"/>
        <v>0.3</v>
      </c>
      <c r="I42" s="62">
        <v>0.3</v>
      </c>
      <c r="J42" s="62"/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360</v>
      </c>
      <c r="E43" s="121"/>
      <c r="F43" s="141"/>
      <c r="G43" s="142"/>
      <c r="H43" s="41">
        <f t="shared" si="1"/>
        <v>360</v>
      </c>
      <c r="I43" s="62">
        <v>360</v>
      </c>
      <c r="J43" s="62"/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90</v>
      </c>
      <c r="E44" s="57">
        <f t="shared" ref="E44:E59" si="11">F44+G44</f>
        <v>0</v>
      </c>
      <c r="F44" s="62"/>
      <c r="G44" s="63"/>
      <c r="H44" s="41">
        <f t="shared" si="1"/>
        <v>90</v>
      </c>
      <c r="I44" s="62">
        <v>90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60</v>
      </c>
      <c r="E45" s="57">
        <f t="shared" si="11"/>
        <v>0</v>
      </c>
      <c r="F45" s="62"/>
      <c r="G45" s="63"/>
      <c r="H45" s="41">
        <f t="shared" si="1"/>
        <v>60</v>
      </c>
      <c r="I45" s="62">
        <v>60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>
        <v>0</v>
      </c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>
        <v>0</v>
      </c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1.6666666666666667</v>
      </c>
      <c r="E48" s="57">
        <f t="shared" si="11"/>
        <v>0</v>
      </c>
      <c r="F48" s="62"/>
      <c r="G48" s="63"/>
      <c r="H48" s="41">
        <f t="shared" si="1"/>
        <v>1.6666666666666667</v>
      </c>
      <c r="I48" s="62">
        <f>I49/1800</f>
        <v>1.6666666666666667</v>
      </c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3000</v>
      </c>
      <c r="E49" s="57">
        <f t="shared" si="11"/>
        <v>0</v>
      </c>
      <c r="F49" s="62"/>
      <c r="G49" s="63"/>
      <c r="H49" s="41">
        <f t="shared" si="1"/>
        <v>3000</v>
      </c>
      <c r="I49" s="62">
        <v>3000</v>
      </c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130</v>
      </c>
      <c r="E50" s="57">
        <f t="shared" si="11"/>
        <v>0</v>
      </c>
      <c r="F50" s="62"/>
      <c r="G50" s="63"/>
      <c r="H50" s="41">
        <f t="shared" si="1"/>
        <v>130</v>
      </c>
      <c r="I50" s="62">
        <v>130</v>
      </c>
      <c r="J50" s="62"/>
      <c r="K50" s="41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900</v>
      </c>
      <c r="E51" s="57">
        <f t="shared" si="11"/>
        <v>0</v>
      </c>
      <c r="F51" s="62"/>
      <c r="G51" s="63"/>
      <c r="H51" s="41">
        <f t="shared" si="1"/>
        <v>900</v>
      </c>
      <c r="I51" s="62">
        <v>900</v>
      </c>
      <c r="J51" s="62"/>
      <c r="K51" s="41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70</v>
      </c>
      <c r="E52" s="57">
        <f t="shared" si="11"/>
        <v>0</v>
      </c>
      <c r="F52" s="62"/>
      <c r="G52" s="63"/>
      <c r="H52" s="41">
        <f t="shared" si="1"/>
        <v>70</v>
      </c>
      <c r="I52" s="62">
        <v>70</v>
      </c>
      <c r="J52" s="62"/>
      <c r="K52" s="41">
        <f t="shared" si="2"/>
        <v>0</v>
      </c>
      <c r="L52" s="62"/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1000</v>
      </c>
      <c r="E53" s="57">
        <f t="shared" si="11"/>
        <v>0</v>
      </c>
      <c r="F53" s="62"/>
      <c r="G53" s="63"/>
      <c r="H53" s="41">
        <f t="shared" si="1"/>
        <v>1000</v>
      </c>
      <c r="I53" s="62">
        <v>1000</v>
      </c>
      <c r="J53" s="62"/>
      <c r="K53" s="41">
        <f t="shared" si="2"/>
        <v>0</v>
      </c>
      <c r="L53" s="62"/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300</v>
      </c>
      <c r="E54" s="57">
        <f t="shared" si="11"/>
        <v>0</v>
      </c>
      <c r="F54" s="62"/>
      <c r="G54" s="63"/>
      <c r="H54" s="41">
        <f t="shared" si="1"/>
        <v>300</v>
      </c>
      <c r="I54" s="62">
        <v>300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4000</v>
      </c>
      <c r="E55" s="57">
        <f t="shared" si="11"/>
        <v>0</v>
      </c>
      <c r="F55" s="62"/>
      <c r="G55" s="63"/>
      <c r="H55" s="41">
        <f t="shared" si="1"/>
        <v>4000</v>
      </c>
      <c r="I55" s="62">
        <v>4000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0.53870000000000018</v>
      </c>
      <c r="E56" s="57">
        <f t="shared" si="11"/>
        <v>0</v>
      </c>
      <c r="F56" s="62"/>
      <c r="G56" s="63"/>
      <c r="H56" s="41">
        <f t="shared" si="1"/>
        <v>0.51170000000000015</v>
      </c>
      <c r="I56" s="62">
        <v>0.51170000000000015</v>
      </c>
      <c r="J56" s="62">
        <v>0</v>
      </c>
      <c r="K56" s="41">
        <f t="shared" si="2"/>
        <v>2.6999999999999996E-2</v>
      </c>
      <c r="L56" s="62">
        <v>2.6999999999999996E-2</v>
      </c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341.76400000000001</v>
      </c>
      <c r="E57" s="57">
        <f t="shared" si="11"/>
        <v>0</v>
      </c>
      <c r="F57" s="62"/>
      <c r="G57" s="63"/>
      <c r="H57" s="41">
        <f t="shared" si="1"/>
        <v>325.56400000000002</v>
      </c>
      <c r="I57" s="62">
        <v>325.56400000000002</v>
      </c>
      <c r="J57" s="62">
        <v>0</v>
      </c>
      <c r="K57" s="41">
        <f t="shared" si="2"/>
        <v>16.2</v>
      </c>
      <c r="L57" s="62">
        <v>16.2</v>
      </c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6</v>
      </c>
      <c r="E58" s="57">
        <f t="shared" si="11"/>
        <v>0</v>
      </c>
      <c r="F58" s="62"/>
      <c r="G58" s="63"/>
      <c r="H58" s="41">
        <f t="shared" si="1"/>
        <v>6</v>
      </c>
      <c r="I58" s="62">
        <v>6</v>
      </c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24</v>
      </c>
      <c r="E59" s="72">
        <f t="shared" si="11"/>
        <v>0</v>
      </c>
      <c r="F59" s="73"/>
      <c r="G59" s="74"/>
      <c r="H59" s="41">
        <f t="shared" si="1"/>
        <v>24</v>
      </c>
      <c r="I59" s="62">
        <v>24</v>
      </c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10</v>
      </c>
      <c r="E66" s="158"/>
      <c r="F66" s="159"/>
      <c r="G66" s="160"/>
      <c r="H66" s="41">
        <f t="shared" si="1"/>
        <v>10</v>
      </c>
      <c r="I66" s="62">
        <v>10</v>
      </c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1.5</v>
      </c>
      <c r="E67" s="166"/>
      <c r="F67" s="167"/>
      <c r="G67" s="168"/>
      <c r="H67" s="41">
        <f t="shared" si="1"/>
        <v>1.5</v>
      </c>
      <c r="I67" s="62">
        <f>150*10/1000</f>
        <v>1.5</v>
      </c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1.8181818181818181</v>
      </c>
      <c r="E70" s="158"/>
      <c r="F70" s="159"/>
      <c r="G70" s="160"/>
      <c r="H70" s="41">
        <f t="shared" si="1"/>
        <v>1.8181818181818181</v>
      </c>
      <c r="I70" s="62">
        <f>I71/1100</f>
        <v>1.8181818181818181</v>
      </c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2000</v>
      </c>
      <c r="E71" s="166"/>
      <c r="F71" s="167"/>
      <c r="G71" s="168"/>
      <c r="H71" s="41">
        <f t="shared" si="1"/>
        <v>2000</v>
      </c>
      <c r="I71" s="62">
        <f>2000</f>
        <v>2000</v>
      </c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33260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33260</v>
      </c>
      <c r="I72" s="178">
        <f>I74+I84+I86</f>
        <v>20260</v>
      </c>
      <c r="J72" s="178">
        <f>J74+J84+J86</f>
        <v>13000</v>
      </c>
      <c r="K72" s="41">
        <f t="shared" si="2"/>
        <v>0</v>
      </c>
      <c r="L72" s="179">
        <f t="shared" si="13"/>
        <v>0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17.100000000000001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17.100000000000001</v>
      </c>
      <c r="I73" s="18">
        <f t="shared" si="14"/>
        <v>10.1</v>
      </c>
      <c r="J73" s="18">
        <f t="shared" si="14"/>
        <v>7</v>
      </c>
      <c r="K73" s="49">
        <f t="shared" si="2"/>
        <v>0</v>
      </c>
      <c r="L73" s="18">
        <f t="shared" si="14"/>
        <v>0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29460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29460</v>
      </c>
      <c r="I74" s="18">
        <f>I76+I78+I80+I82</f>
        <v>17460</v>
      </c>
      <c r="J74" s="18">
        <f>J76+J78+J80+J82</f>
        <v>12000</v>
      </c>
      <c r="K74" s="49">
        <f t="shared" si="2"/>
        <v>0</v>
      </c>
      <c r="L74" s="18">
        <f>L76+L78+L80+L82</f>
        <v>0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5</v>
      </c>
      <c r="E75" s="57">
        <f t="shared" ref="E75:E86" si="16">F75+G75</f>
        <v>0</v>
      </c>
      <c r="F75" s="62"/>
      <c r="G75" s="62"/>
      <c r="H75" s="48">
        <f t="shared" si="1"/>
        <v>5</v>
      </c>
      <c r="I75" s="359">
        <f>0.5+2.5</f>
        <v>3</v>
      </c>
      <c r="J75" s="20">
        <v>2</v>
      </c>
      <c r="K75" s="49">
        <f t="shared" si="2"/>
        <v>0</v>
      </c>
      <c r="L75" s="20"/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8500</v>
      </c>
      <c r="E76" s="57">
        <f t="shared" si="16"/>
        <v>0</v>
      </c>
      <c r="F76" s="62"/>
      <c r="G76" s="62"/>
      <c r="H76" s="48">
        <f t="shared" si="1"/>
        <v>8500</v>
      </c>
      <c r="I76" s="359">
        <f>I75*1700</f>
        <v>5100</v>
      </c>
      <c r="J76" s="20">
        <f>J75*1700</f>
        <v>3400</v>
      </c>
      <c r="K76" s="49">
        <f t="shared" si="2"/>
        <v>0</v>
      </c>
      <c r="L76" s="20"/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4.9000000000000004</v>
      </c>
      <c r="E77" s="57">
        <f t="shared" si="16"/>
        <v>0</v>
      </c>
      <c r="F77" s="62"/>
      <c r="G77" s="62"/>
      <c r="H77" s="48">
        <f t="shared" si="1"/>
        <v>4.9000000000000004</v>
      </c>
      <c r="I77" s="359">
        <f>1+1.9</f>
        <v>2.9</v>
      </c>
      <c r="J77" s="20">
        <v>2</v>
      </c>
      <c r="K77" s="49">
        <f t="shared" si="2"/>
        <v>0</v>
      </c>
      <c r="L77" s="20"/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8330</v>
      </c>
      <c r="E78" s="57">
        <f t="shared" si="16"/>
        <v>0</v>
      </c>
      <c r="F78" s="62"/>
      <c r="G78" s="62"/>
      <c r="H78" s="48">
        <f t="shared" ref="H78:H97" si="23">I78+J78</f>
        <v>8330</v>
      </c>
      <c r="I78" s="359">
        <f>I77*1700</f>
        <v>4930</v>
      </c>
      <c r="J78" s="20">
        <f>J77*1700</f>
        <v>3400</v>
      </c>
      <c r="K78" s="49">
        <f t="shared" ref="K78:K97" si="24">L78+M78</f>
        <v>0</v>
      </c>
      <c r="L78" s="185"/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3.3</v>
      </c>
      <c r="E79" s="57">
        <f t="shared" si="16"/>
        <v>0</v>
      </c>
      <c r="F79" s="62"/>
      <c r="G79" s="62"/>
      <c r="H79" s="48">
        <f t="shared" si="23"/>
        <v>3.3</v>
      </c>
      <c r="I79" s="359">
        <f>0.6+0.7</f>
        <v>1.2999999999999998</v>
      </c>
      <c r="J79" s="20">
        <v>2</v>
      </c>
      <c r="K79" s="49">
        <f t="shared" si="24"/>
        <v>0</v>
      </c>
      <c r="L79" s="20"/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5610</v>
      </c>
      <c r="E80" s="57">
        <f t="shared" si="16"/>
        <v>0</v>
      </c>
      <c r="F80" s="62"/>
      <c r="G80" s="62"/>
      <c r="H80" s="48">
        <f t="shared" si="23"/>
        <v>5610</v>
      </c>
      <c r="I80" s="359">
        <f>I79*1700</f>
        <v>2209.9999999999995</v>
      </c>
      <c r="J80" s="20">
        <f>J79*1700</f>
        <v>3400</v>
      </c>
      <c r="K80" s="49">
        <f t="shared" si="24"/>
        <v>0</v>
      </c>
      <c r="L80" s="20"/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3.9</v>
      </c>
      <c r="E81" s="57">
        <f t="shared" si="16"/>
        <v>0</v>
      </c>
      <c r="F81" s="62"/>
      <c r="G81" s="62"/>
      <c r="H81" s="48">
        <f t="shared" si="23"/>
        <v>3.9</v>
      </c>
      <c r="I81" s="359">
        <f>0.5+2.4</f>
        <v>2.9</v>
      </c>
      <c r="J81" s="20">
        <v>1</v>
      </c>
      <c r="K81" s="49">
        <f t="shared" si="24"/>
        <v>0</v>
      </c>
      <c r="L81" s="20"/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7020</v>
      </c>
      <c r="E82" s="57">
        <f t="shared" si="16"/>
        <v>0</v>
      </c>
      <c r="F82" s="62"/>
      <c r="G82" s="62"/>
      <c r="H82" s="48">
        <f t="shared" si="23"/>
        <v>7020</v>
      </c>
      <c r="I82" s="359">
        <f>I81*1800</f>
        <v>5220</v>
      </c>
      <c r="J82" s="20">
        <f>J81*1800</f>
        <v>1800</v>
      </c>
      <c r="K82" s="49">
        <f t="shared" si="24"/>
        <v>0</v>
      </c>
      <c r="L82" s="20"/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300</v>
      </c>
      <c r="E83" s="57">
        <f t="shared" si="16"/>
        <v>0</v>
      </c>
      <c r="F83" s="62"/>
      <c r="G83" s="62"/>
      <c r="H83" s="48">
        <f t="shared" si="23"/>
        <v>300</v>
      </c>
      <c r="I83" s="20">
        <v>300</v>
      </c>
      <c r="J83" s="20"/>
      <c r="K83" s="49">
        <f t="shared" si="24"/>
        <v>0</v>
      </c>
      <c r="L83" s="20"/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2000</v>
      </c>
      <c r="E84" s="57">
        <f t="shared" si="16"/>
        <v>0</v>
      </c>
      <c r="F84" s="62"/>
      <c r="G84" s="62"/>
      <c r="H84" s="48">
        <f t="shared" si="23"/>
        <v>2000</v>
      </c>
      <c r="I84" s="20">
        <v>2000</v>
      </c>
      <c r="J84" s="20"/>
      <c r="K84" s="49">
        <f t="shared" si="24"/>
        <v>0</v>
      </c>
      <c r="L84" s="20"/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1400</v>
      </c>
      <c r="E85" s="57">
        <f t="shared" si="16"/>
        <v>0</v>
      </c>
      <c r="F85" s="62"/>
      <c r="G85" s="62"/>
      <c r="H85" s="48">
        <f t="shared" si="23"/>
        <v>1400</v>
      </c>
      <c r="I85" s="20">
        <v>400</v>
      </c>
      <c r="J85" s="20">
        <v>1000</v>
      </c>
      <c r="K85" s="49">
        <f t="shared" si="24"/>
        <v>0</v>
      </c>
      <c r="L85" s="20"/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1800</v>
      </c>
      <c r="E86" s="57">
        <f t="shared" si="16"/>
        <v>0</v>
      </c>
      <c r="F86" s="62"/>
      <c r="G86" s="62"/>
      <c r="H86" s="48">
        <f t="shared" si="23"/>
        <v>1800</v>
      </c>
      <c r="I86" s="20">
        <v>800</v>
      </c>
      <c r="J86" s="20">
        <v>1000</v>
      </c>
      <c r="K86" s="49">
        <f t="shared" si="24"/>
        <v>0</v>
      </c>
      <c r="L86" s="20"/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3800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3800</v>
      </c>
      <c r="I87" s="195">
        <f t="shared" si="25"/>
        <v>3800</v>
      </c>
      <c r="J87" s="195">
        <f t="shared" si="25"/>
        <v>0</v>
      </c>
      <c r="K87" s="41">
        <f t="shared" si="24"/>
        <v>0</v>
      </c>
      <c r="L87" s="195">
        <f t="shared" si="25"/>
        <v>0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3.5</v>
      </c>
      <c r="E88" s="57">
        <f>F88+G88</f>
        <v>0</v>
      </c>
      <c r="F88" s="62"/>
      <c r="G88" s="62"/>
      <c r="H88" s="41">
        <f t="shared" si="23"/>
        <v>3.5</v>
      </c>
      <c r="I88" s="196">
        <v>3.5</v>
      </c>
      <c r="J88" s="197"/>
      <c r="K88" s="41">
        <f t="shared" si="24"/>
        <v>0</v>
      </c>
      <c r="L88" s="62"/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600</v>
      </c>
      <c r="E89" s="57">
        <f>F89+G89</f>
        <v>0</v>
      </c>
      <c r="F89" s="62"/>
      <c r="G89" s="62"/>
      <c r="H89" s="41">
        <f t="shared" si="23"/>
        <v>600</v>
      </c>
      <c r="I89" s="196">
        <v>600</v>
      </c>
      <c r="J89" s="197"/>
      <c r="K89" s="41">
        <f t="shared" si="24"/>
        <v>0</v>
      </c>
      <c r="L89" s="62"/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2000</v>
      </c>
      <c r="E90" s="57">
        <v>0</v>
      </c>
      <c r="F90" s="62"/>
      <c r="G90" s="62"/>
      <c r="H90" s="41">
        <f>I90+J91</f>
        <v>2000</v>
      </c>
      <c r="I90" s="196">
        <v>2000</v>
      </c>
      <c r="K90" s="41">
        <f t="shared" si="24"/>
        <v>0</v>
      </c>
      <c r="L90" s="62"/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1900</v>
      </c>
      <c r="E91" s="57">
        <f>F91+G91</f>
        <v>0</v>
      </c>
      <c r="F91" s="62"/>
      <c r="G91" s="62"/>
      <c r="H91" s="41">
        <f t="shared" ref="H91:H93" si="31">I91+J92</f>
        <v>1900</v>
      </c>
      <c r="I91" s="196">
        <v>1900</v>
      </c>
      <c r="J91" s="197"/>
      <c r="K91" s="41">
        <f t="shared" si="24"/>
        <v>0</v>
      </c>
      <c r="L91" s="62"/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300</v>
      </c>
      <c r="E92" s="57">
        <f>F92+G92</f>
        <v>0</v>
      </c>
      <c r="F92" s="62"/>
      <c r="G92" s="62"/>
      <c r="H92" s="41">
        <f t="shared" si="31"/>
        <v>300</v>
      </c>
      <c r="I92" s="196">
        <v>300</v>
      </c>
      <c r="J92" s="197"/>
      <c r="K92" s="41">
        <f t="shared" si="24"/>
        <v>0</v>
      </c>
      <c r="L92" s="62"/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2524</v>
      </c>
      <c r="E93" s="57">
        <f>F93+G93</f>
        <v>0</v>
      </c>
      <c r="F93" s="62"/>
      <c r="G93" s="62"/>
      <c r="H93" s="41">
        <f t="shared" si="31"/>
        <v>2524</v>
      </c>
      <c r="I93" s="196">
        <v>1300</v>
      </c>
      <c r="J93" s="197"/>
      <c r="K93" s="41">
        <f t="shared" si="24"/>
        <v>0</v>
      </c>
      <c r="L93" s="62"/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1224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1224</v>
      </c>
      <c r="I94" s="205">
        <f t="shared" si="32"/>
        <v>0</v>
      </c>
      <c r="J94" s="205">
        <f t="shared" si="32"/>
        <v>1224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1224</v>
      </c>
      <c r="E95" s="57">
        <f>F95+G95</f>
        <v>0</v>
      </c>
      <c r="F95" s="62"/>
      <c r="G95" s="62"/>
      <c r="H95" s="41">
        <f t="shared" si="23"/>
        <v>1224</v>
      </c>
      <c r="I95" s="62"/>
      <c r="J95" s="62">
        <v>1224</v>
      </c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20224.418999999994</v>
      </c>
      <c r="E97" s="211">
        <f>F97+G97</f>
        <v>0</v>
      </c>
      <c r="F97" s="212"/>
      <c r="G97" s="212"/>
      <c r="H97" s="41">
        <f t="shared" si="23"/>
        <v>20224.418999999994</v>
      </c>
      <c r="I97" s="360">
        <f>93133.15-82666.766+6807.758+2950.277</f>
        <v>20224.418999999994</v>
      </c>
      <c r="J97" s="212"/>
      <c r="K97" s="41">
        <f t="shared" si="24"/>
        <v>0</v>
      </c>
      <c r="L97" s="212"/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115881.18489999999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110202.79489999999</v>
      </c>
      <c r="I98" s="144">
        <f>I97+I94+I87+I72+I13</f>
        <v>67779.238499999992</v>
      </c>
      <c r="J98" s="144">
        <f>J97+J94+J87+J72+J13</f>
        <v>42423.556400000001</v>
      </c>
      <c r="K98" s="41">
        <f>L98+M98</f>
        <v>5678.39</v>
      </c>
      <c r="L98" s="218">
        <f t="shared" si="33"/>
        <v>716.8900000000001</v>
      </c>
      <c r="M98" s="218">
        <f>M97+M94+M87+M72+M13</f>
        <v>4961.5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-35232.457899999994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900</v>
      </c>
      <c r="E100" s="27"/>
      <c r="F100" s="27"/>
      <c r="G100" s="27"/>
      <c r="H100" s="27"/>
      <c r="I100" s="27">
        <f>H97-I97</f>
        <v>0</v>
      </c>
      <c r="J100" s="27">
        <f>I97+E99</f>
        <v>-15008.0389</v>
      </c>
      <c r="K100" s="27"/>
      <c r="L100" s="27"/>
      <c r="M100" s="27">
        <f>9567.184-K98</f>
        <v>3888.793999999999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56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56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56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56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56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56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56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56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56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56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56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56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56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56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56" s="6" customFormat="1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6" customFormat="1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/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/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/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/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/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/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286</v>
      </c>
      <c r="B157" s="5"/>
      <c r="C157" s="5"/>
      <c r="D157" s="5"/>
      <c r="E157" s="5"/>
    </row>
    <row r="158" spans="1:24" s="6" customFormat="1">
      <c r="A158" s="1748" t="s">
        <v>287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 t="s">
        <v>213</v>
      </c>
      <c r="B160" s="5"/>
      <c r="C160" s="5"/>
      <c r="D160" s="5"/>
      <c r="E160" s="5"/>
    </row>
    <row r="163" ht="6" customHeight="1"/>
  </sheetData>
  <mergeCells count="23">
    <mergeCell ref="A14:A16"/>
    <mergeCell ref="A101:T101"/>
    <mergeCell ref="A158:D158"/>
    <mergeCell ref="A7:X7"/>
    <mergeCell ref="B8:P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V163"/>
  <sheetViews>
    <sheetView topLeftCell="A97" zoomScale="70" zoomScaleNormal="70" workbookViewId="0">
      <selection activeCell="D13" sqref="D13:D98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1.85546875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210</v>
      </c>
      <c r="U6" s="1755"/>
      <c r="V6" s="1755"/>
      <c r="W6" s="1755"/>
      <c r="X6" s="1755"/>
    </row>
    <row r="7" spans="1:27" ht="53.25" customHeight="1">
      <c r="A7" s="1754" t="s">
        <v>201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7" t="s">
        <v>190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30"/>
      <c r="P8" s="267"/>
      <c r="Q8" s="267"/>
      <c r="R8" s="267"/>
      <c r="S8" s="267"/>
      <c r="T8" s="267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57372.765899999999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51694.375899999999</v>
      </c>
      <c r="I13" s="41">
        <f>I16+I23+I34+I36+I39+I41+I43+I45+I47+I49+I51+I53+I55+I57+I59+I61+I63+I65+I67+I69+I71</f>
        <v>23494.819499999998</v>
      </c>
      <c r="J13" s="41">
        <f>J16+J23+J34+J36+J39+J41+J43+J45+J47+J49+J51+J53+J55+J57+J59+J61+J63+J65+J67+J69+J71</f>
        <v>28199.556399999998</v>
      </c>
      <c r="K13" s="41">
        <f>L13+M13</f>
        <v>5678.39</v>
      </c>
      <c r="L13" s="41">
        <f>L16+L23+L34+L36+L39+L41+L43+L45+L47+L49+L51+L53+L55+L57+L59+L61+L63+L65+L67+L69+L71</f>
        <v>716.8900000000001</v>
      </c>
      <c r="M13" s="41">
        <f>M16+M23+M34+M36+M39+M41+M43+M45+M47+M49+M51+M53+M55+M57+M59+M61+M63+M65+M67+M69+M71</f>
        <v>4961.5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78</v>
      </c>
      <c r="E14" s="46"/>
      <c r="F14" s="46"/>
      <c r="G14" s="47"/>
      <c r="H14" s="48">
        <f t="shared" ref="H14:H77" si="1">I14+J14</f>
        <v>69</v>
      </c>
      <c r="I14" s="16">
        <v>69</v>
      </c>
      <c r="J14" s="16">
        <v>0</v>
      </c>
      <c r="K14" s="49">
        <f t="shared" ref="K14:K77" si="2">L14+M14</f>
        <v>9</v>
      </c>
      <c r="L14" s="16">
        <v>9</v>
      </c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3.9447000000000001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3.2983000000000002</v>
      </c>
      <c r="I15" s="18">
        <f>I17+I19</f>
        <v>3.2983000000000002</v>
      </c>
      <c r="J15" s="18">
        <f>J17+J19</f>
        <v>0</v>
      </c>
      <c r="K15" s="49">
        <f t="shared" si="2"/>
        <v>0.64639999999999997</v>
      </c>
      <c r="L15" s="18">
        <f>L17+L19</f>
        <v>0.64639999999999997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1927.7079999999996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1539.8679999999997</v>
      </c>
      <c r="I16" s="18">
        <f>I18+I20+I21</f>
        <v>1539.8679999999997</v>
      </c>
      <c r="J16" s="18">
        <f>J18+J20+J21</f>
        <v>0</v>
      </c>
      <c r="K16" s="49">
        <f t="shared" si="2"/>
        <v>387.84</v>
      </c>
      <c r="L16" s="18">
        <f>L18+L20+L21</f>
        <v>387.84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1.4177</v>
      </c>
      <c r="E17" s="57">
        <f>F17+G17</f>
        <v>0</v>
      </c>
      <c r="F17" s="62"/>
      <c r="G17" s="63"/>
      <c r="H17" s="48">
        <f t="shared" si="1"/>
        <v>1.4177</v>
      </c>
      <c r="I17" s="261">
        <v>1.4177</v>
      </c>
      <c r="J17" s="20">
        <v>0</v>
      </c>
      <c r="K17" s="49">
        <f t="shared" si="2"/>
        <v>0</v>
      </c>
      <c r="L17" s="20"/>
      <c r="M17" s="20"/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411.50799999999987</v>
      </c>
      <c r="E18" s="57">
        <f>F18+G18</f>
        <v>0</v>
      </c>
      <c r="F18" s="62"/>
      <c r="G18" s="63"/>
      <c r="H18" s="48">
        <f t="shared" si="1"/>
        <v>411.50799999999987</v>
      </c>
      <c r="I18" s="20">
        <v>411.50799999999987</v>
      </c>
      <c r="J18" s="20">
        <v>0</v>
      </c>
      <c r="K18" s="49">
        <f t="shared" si="2"/>
        <v>0</v>
      </c>
      <c r="L18" s="20"/>
      <c r="M18" s="20"/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2.5270000000000001</v>
      </c>
      <c r="E19" s="57">
        <f>F19+G19</f>
        <v>0</v>
      </c>
      <c r="F19" s="62"/>
      <c r="G19" s="63"/>
      <c r="H19" s="48">
        <f t="shared" si="1"/>
        <v>1.8806000000000003</v>
      </c>
      <c r="I19" s="28">
        <v>1.8806000000000003</v>
      </c>
      <c r="J19" s="20"/>
      <c r="K19" s="49">
        <f t="shared" si="2"/>
        <v>0.64639999999999997</v>
      </c>
      <c r="L19" s="20">
        <v>0.64639999999999997</v>
      </c>
      <c r="M19" s="20"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1516.1999999999998</v>
      </c>
      <c r="E20" s="72">
        <f>F20+G20</f>
        <v>0</v>
      </c>
      <c r="F20" s="73"/>
      <c r="G20" s="74"/>
      <c r="H20" s="48">
        <f t="shared" si="1"/>
        <v>1128.3599999999999</v>
      </c>
      <c r="I20" s="20">
        <v>1128.3599999999999</v>
      </c>
      <c r="J20" s="20"/>
      <c r="K20" s="49">
        <f t="shared" si="2"/>
        <v>387.84</v>
      </c>
      <c r="L20" s="20">
        <v>387.84</v>
      </c>
      <c r="M20" s="20"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6</v>
      </c>
      <c r="E22" s="85"/>
      <c r="F22" s="86"/>
      <c r="G22" s="87"/>
      <c r="H22" s="41">
        <f t="shared" si="1"/>
        <v>6</v>
      </c>
      <c r="I22" s="86"/>
      <c r="J22" s="86">
        <v>6</v>
      </c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1866.1920000000002</v>
      </c>
      <c r="E23" s="94"/>
      <c r="F23" s="95"/>
      <c r="G23" s="96"/>
      <c r="H23" s="41">
        <f t="shared" si="1"/>
        <v>1866.1920000000002</v>
      </c>
      <c r="I23" s="95">
        <f>I25+I27+I29+I31+I32</f>
        <v>0</v>
      </c>
      <c r="J23" s="95">
        <f>J25+J27+J29+J31+J32</f>
        <v>1866.1920000000002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227.12</v>
      </c>
      <c r="E24" s="57"/>
      <c r="F24" s="62"/>
      <c r="G24" s="63"/>
      <c r="H24" s="41">
        <f t="shared" si="1"/>
        <v>227.12</v>
      </c>
      <c r="I24" s="101"/>
      <c r="J24" s="101">
        <v>227.12</v>
      </c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1247.5320000000002</v>
      </c>
      <c r="E25" s="57"/>
      <c r="F25" s="62"/>
      <c r="G25" s="63"/>
      <c r="H25" s="41">
        <f t="shared" si="1"/>
        <v>1247.5320000000002</v>
      </c>
      <c r="I25" s="101"/>
      <c r="J25" s="101">
        <v>1247.5320000000002</v>
      </c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452</v>
      </c>
      <c r="E26" s="57"/>
      <c r="F26" s="62"/>
      <c r="G26" s="63"/>
      <c r="H26" s="41">
        <f t="shared" si="1"/>
        <v>452</v>
      </c>
      <c r="I26" s="101"/>
      <c r="J26" s="101">
        <v>452</v>
      </c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566.60500000000002</v>
      </c>
      <c r="E27" s="57"/>
      <c r="F27" s="62"/>
      <c r="G27" s="63"/>
      <c r="H27" s="41">
        <f t="shared" si="1"/>
        <v>566.60500000000002</v>
      </c>
      <c r="I27" s="101"/>
      <c r="J27" s="101">
        <v>566.60500000000002</v>
      </c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>
        <v>0</v>
      </c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>
        <v>0</v>
      </c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>
        <v>0</v>
      </c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>
        <v>0</v>
      </c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52.054999999999986</v>
      </c>
      <c r="E32" s="57"/>
      <c r="F32" s="62"/>
      <c r="G32" s="63"/>
      <c r="H32" s="41">
        <f t="shared" si="1"/>
        <v>52.054999999999986</v>
      </c>
      <c r="I32" s="101"/>
      <c r="J32" s="101">
        <v>52.054999999999986</v>
      </c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3.7</v>
      </c>
      <c r="E33" s="57">
        <f t="shared" ref="E33:E39" si="9">F33+G33</f>
        <v>0</v>
      </c>
      <c r="F33" s="62"/>
      <c r="G33" s="63"/>
      <c r="H33" s="41">
        <f t="shared" si="1"/>
        <v>3.7</v>
      </c>
      <c r="I33" s="62"/>
      <c r="J33" s="62">
        <v>3.7</v>
      </c>
      <c r="K33" s="41">
        <f t="shared" si="2"/>
        <v>0</v>
      </c>
      <c r="L33" s="62"/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2400</v>
      </c>
      <c r="E34" s="57">
        <f t="shared" si="9"/>
        <v>0</v>
      </c>
      <c r="F34" s="62"/>
      <c r="G34" s="63"/>
      <c r="H34" s="41">
        <f t="shared" si="1"/>
        <v>2400</v>
      </c>
      <c r="I34" s="62"/>
      <c r="J34" s="62">
        <v>2400</v>
      </c>
      <c r="K34" s="41">
        <f t="shared" si="2"/>
        <v>0</v>
      </c>
      <c r="L34" s="62"/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6.0336499999999873</v>
      </c>
      <c r="E35" s="57">
        <f t="shared" si="9"/>
        <v>0</v>
      </c>
      <c r="F35" s="62"/>
      <c r="G35" s="63"/>
      <c r="H35" s="41">
        <f t="shared" si="1"/>
        <v>5.8536499999999876</v>
      </c>
      <c r="I35" s="62">
        <v>5.8536499999999876</v>
      </c>
      <c r="J35" s="62">
        <v>0</v>
      </c>
      <c r="K35" s="41">
        <f t="shared" si="2"/>
        <v>0.18000000000000002</v>
      </c>
      <c r="L35" s="62">
        <v>0.18000000000000002</v>
      </c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10556.737500000001</v>
      </c>
      <c r="E36" s="57">
        <f t="shared" si="9"/>
        <v>0</v>
      </c>
      <c r="F36" s="62"/>
      <c r="G36" s="63"/>
      <c r="H36" s="41">
        <f t="shared" si="1"/>
        <v>10243.887500000001</v>
      </c>
      <c r="I36" s="62">
        <v>10243.887500000001</v>
      </c>
      <c r="J36" s="62">
        <v>0</v>
      </c>
      <c r="K36" s="41">
        <f t="shared" si="2"/>
        <v>312.85000000000002</v>
      </c>
      <c r="L36" s="62">
        <v>312.85000000000002</v>
      </c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64.735100000000031</v>
      </c>
      <c r="E37" s="57">
        <f t="shared" si="9"/>
        <v>0</v>
      </c>
      <c r="F37" s="62"/>
      <c r="G37" s="63"/>
      <c r="H37" s="41">
        <f t="shared" si="1"/>
        <v>53.735100000000031</v>
      </c>
      <c r="I37" s="62">
        <v>0</v>
      </c>
      <c r="J37" s="62">
        <v>53.735100000000031</v>
      </c>
      <c r="K37" s="41">
        <f t="shared" si="2"/>
        <v>11</v>
      </c>
      <c r="L37" s="62">
        <v>0</v>
      </c>
      <c r="M37" s="62">
        <v>11</v>
      </c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190</v>
      </c>
      <c r="E38" s="57">
        <f t="shared" si="9"/>
        <v>0</v>
      </c>
      <c r="F38" s="62"/>
      <c r="G38" s="63"/>
      <c r="H38" s="41">
        <f t="shared" si="1"/>
        <v>154</v>
      </c>
      <c r="I38" s="62">
        <v>0</v>
      </c>
      <c r="J38" s="62">
        <v>154</v>
      </c>
      <c r="K38" s="41">
        <f t="shared" si="2"/>
        <v>36</v>
      </c>
      <c r="L38" s="62">
        <v>0</v>
      </c>
      <c r="M38" s="62">
        <v>36</v>
      </c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28894.864399999999</v>
      </c>
      <c r="E39" s="72">
        <f t="shared" si="9"/>
        <v>0</v>
      </c>
      <c r="F39" s="73"/>
      <c r="G39" s="74"/>
      <c r="H39" s="41">
        <f t="shared" si="1"/>
        <v>23933.364399999999</v>
      </c>
      <c r="I39" s="62">
        <v>0</v>
      </c>
      <c r="J39" s="62">
        <v>23933.364399999999</v>
      </c>
      <c r="K39" s="41">
        <f t="shared" si="2"/>
        <v>4961.5</v>
      </c>
      <c r="L39" s="62">
        <v>0</v>
      </c>
      <c r="M39" s="62">
        <v>4961.5</v>
      </c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0.1</v>
      </c>
      <c r="E40" s="123"/>
      <c r="F40" s="133"/>
      <c r="G40" s="134"/>
      <c r="H40" s="41">
        <f t="shared" si="1"/>
        <v>0.1</v>
      </c>
      <c r="I40" s="62">
        <v>0.1</v>
      </c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40</v>
      </c>
      <c r="E41" s="121"/>
      <c r="F41" s="141"/>
      <c r="G41" s="142"/>
      <c r="H41" s="41">
        <f t="shared" si="1"/>
        <v>40</v>
      </c>
      <c r="I41" s="62">
        <f>I40*400</f>
        <v>40</v>
      </c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0.3</v>
      </c>
      <c r="E42" s="123"/>
      <c r="F42" s="133"/>
      <c r="G42" s="134"/>
      <c r="H42" s="41">
        <f t="shared" si="1"/>
        <v>0.3</v>
      </c>
      <c r="I42" s="62">
        <v>0.3</v>
      </c>
      <c r="J42" s="62"/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360</v>
      </c>
      <c r="E43" s="121"/>
      <c r="F43" s="141"/>
      <c r="G43" s="142"/>
      <c r="H43" s="41">
        <f t="shared" si="1"/>
        <v>360</v>
      </c>
      <c r="I43" s="62">
        <v>360</v>
      </c>
      <c r="J43" s="62"/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90</v>
      </c>
      <c r="E44" s="57">
        <f t="shared" ref="E44:E59" si="11">F44+G44</f>
        <v>0</v>
      </c>
      <c r="F44" s="62"/>
      <c r="G44" s="63"/>
      <c r="H44" s="41">
        <f t="shared" si="1"/>
        <v>90</v>
      </c>
      <c r="I44" s="62">
        <v>90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60</v>
      </c>
      <c r="E45" s="57">
        <f t="shared" si="11"/>
        <v>0</v>
      </c>
      <c r="F45" s="62"/>
      <c r="G45" s="63"/>
      <c r="H45" s="41">
        <f t="shared" si="1"/>
        <v>60</v>
      </c>
      <c r="I45" s="62">
        <v>60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>
        <v>0</v>
      </c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>
        <v>0</v>
      </c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1.6666666666666667</v>
      </c>
      <c r="E48" s="57">
        <f t="shared" si="11"/>
        <v>0</v>
      </c>
      <c r="F48" s="62"/>
      <c r="G48" s="63"/>
      <c r="H48" s="41">
        <f t="shared" si="1"/>
        <v>1.6666666666666667</v>
      </c>
      <c r="I48" s="62">
        <f>I49/1800</f>
        <v>1.6666666666666667</v>
      </c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3000</v>
      </c>
      <c r="E49" s="57">
        <f t="shared" si="11"/>
        <v>0</v>
      </c>
      <c r="F49" s="62"/>
      <c r="G49" s="63"/>
      <c r="H49" s="41">
        <f t="shared" si="1"/>
        <v>3000</v>
      </c>
      <c r="I49" s="62">
        <v>3000</v>
      </c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130</v>
      </c>
      <c r="E50" s="57">
        <f t="shared" si="11"/>
        <v>0</v>
      </c>
      <c r="F50" s="62"/>
      <c r="G50" s="63"/>
      <c r="H50" s="41">
        <f t="shared" si="1"/>
        <v>130</v>
      </c>
      <c r="I50" s="62">
        <v>130</v>
      </c>
      <c r="J50" s="62"/>
      <c r="K50" s="41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900</v>
      </c>
      <c r="E51" s="57">
        <f t="shared" si="11"/>
        <v>0</v>
      </c>
      <c r="F51" s="62"/>
      <c r="G51" s="63"/>
      <c r="H51" s="41">
        <f t="shared" si="1"/>
        <v>900</v>
      </c>
      <c r="I51" s="62">
        <v>900</v>
      </c>
      <c r="J51" s="62"/>
      <c r="K51" s="41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70</v>
      </c>
      <c r="E52" s="57">
        <f t="shared" si="11"/>
        <v>0</v>
      </c>
      <c r="F52" s="62"/>
      <c r="G52" s="63"/>
      <c r="H52" s="41">
        <f t="shared" si="1"/>
        <v>70</v>
      </c>
      <c r="I52" s="62">
        <v>70</v>
      </c>
      <c r="J52" s="62"/>
      <c r="K52" s="41">
        <f t="shared" si="2"/>
        <v>0</v>
      </c>
      <c r="L52" s="62"/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1000</v>
      </c>
      <c r="E53" s="57">
        <f t="shared" si="11"/>
        <v>0</v>
      </c>
      <c r="F53" s="62"/>
      <c r="G53" s="63"/>
      <c r="H53" s="41">
        <f t="shared" si="1"/>
        <v>1000</v>
      </c>
      <c r="I53" s="62">
        <v>1000</v>
      </c>
      <c r="J53" s="62"/>
      <c r="K53" s="41">
        <f t="shared" si="2"/>
        <v>0</v>
      </c>
      <c r="L53" s="62"/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300</v>
      </c>
      <c r="E54" s="57">
        <f t="shared" si="11"/>
        <v>0</v>
      </c>
      <c r="F54" s="62"/>
      <c r="G54" s="63"/>
      <c r="H54" s="41">
        <f t="shared" si="1"/>
        <v>300</v>
      </c>
      <c r="I54" s="62">
        <v>300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4000</v>
      </c>
      <c r="E55" s="57">
        <f t="shared" si="11"/>
        <v>0</v>
      </c>
      <c r="F55" s="62"/>
      <c r="G55" s="63"/>
      <c r="H55" s="41">
        <f t="shared" si="1"/>
        <v>4000</v>
      </c>
      <c r="I55" s="62">
        <v>4000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0.53870000000000018</v>
      </c>
      <c r="E56" s="57">
        <f t="shared" si="11"/>
        <v>0</v>
      </c>
      <c r="F56" s="62"/>
      <c r="G56" s="63"/>
      <c r="H56" s="41">
        <f t="shared" si="1"/>
        <v>0.51170000000000015</v>
      </c>
      <c r="I56" s="62">
        <v>0.51170000000000015</v>
      </c>
      <c r="J56" s="62">
        <v>0</v>
      </c>
      <c r="K56" s="41">
        <f t="shared" si="2"/>
        <v>2.6999999999999996E-2</v>
      </c>
      <c r="L56" s="62">
        <v>2.6999999999999996E-2</v>
      </c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341.76400000000001</v>
      </c>
      <c r="E57" s="57">
        <f t="shared" si="11"/>
        <v>0</v>
      </c>
      <c r="F57" s="62"/>
      <c r="G57" s="63"/>
      <c r="H57" s="41">
        <f t="shared" si="1"/>
        <v>325.56400000000002</v>
      </c>
      <c r="I57" s="62">
        <v>325.56400000000002</v>
      </c>
      <c r="J57" s="62">
        <v>0</v>
      </c>
      <c r="K57" s="41">
        <f t="shared" si="2"/>
        <v>16.2</v>
      </c>
      <c r="L57" s="62">
        <v>16.2</v>
      </c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6</v>
      </c>
      <c r="E58" s="57">
        <f t="shared" si="11"/>
        <v>0</v>
      </c>
      <c r="F58" s="62"/>
      <c r="G58" s="63"/>
      <c r="H58" s="41">
        <f t="shared" si="1"/>
        <v>6</v>
      </c>
      <c r="I58" s="62">
        <v>6</v>
      </c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24</v>
      </c>
      <c r="E59" s="72">
        <f t="shared" si="11"/>
        <v>0</v>
      </c>
      <c r="F59" s="73"/>
      <c r="G59" s="74"/>
      <c r="H59" s="41">
        <f t="shared" si="1"/>
        <v>24</v>
      </c>
      <c r="I59" s="62">
        <v>24</v>
      </c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10</v>
      </c>
      <c r="E66" s="158"/>
      <c r="F66" s="159"/>
      <c r="G66" s="160"/>
      <c r="H66" s="41">
        <f t="shared" si="1"/>
        <v>10</v>
      </c>
      <c r="I66" s="62">
        <v>10</v>
      </c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1.5</v>
      </c>
      <c r="E67" s="166"/>
      <c r="F67" s="167"/>
      <c r="G67" s="168"/>
      <c r="H67" s="41">
        <f t="shared" si="1"/>
        <v>1.5</v>
      </c>
      <c r="I67" s="62">
        <f>150*10/1000</f>
        <v>1.5</v>
      </c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1.8181818181818181</v>
      </c>
      <c r="E70" s="158"/>
      <c r="F70" s="159"/>
      <c r="G70" s="160"/>
      <c r="H70" s="41">
        <f t="shared" si="1"/>
        <v>1.8181818181818181</v>
      </c>
      <c r="I70" s="62">
        <f>I71/1100</f>
        <v>1.8181818181818181</v>
      </c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2000</v>
      </c>
      <c r="E71" s="166"/>
      <c r="F71" s="167"/>
      <c r="G71" s="168"/>
      <c r="H71" s="41">
        <f t="shared" si="1"/>
        <v>2000</v>
      </c>
      <c r="I71" s="62">
        <f>2000</f>
        <v>2000</v>
      </c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33260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33260</v>
      </c>
      <c r="I72" s="178">
        <f>I74+I84+I86</f>
        <v>20260</v>
      </c>
      <c r="J72" s="178">
        <f>J74+J84+J86</f>
        <v>13000</v>
      </c>
      <c r="K72" s="41">
        <f t="shared" si="2"/>
        <v>0</v>
      </c>
      <c r="L72" s="179">
        <f t="shared" si="13"/>
        <v>0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17.100000000000001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17.100000000000001</v>
      </c>
      <c r="I73" s="18">
        <f t="shared" si="14"/>
        <v>10.1</v>
      </c>
      <c r="J73" s="18">
        <f t="shared" si="14"/>
        <v>7</v>
      </c>
      <c r="K73" s="49">
        <f t="shared" si="2"/>
        <v>0</v>
      </c>
      <c r="L73" s="18">
        <f t="shared" si="14"/>
        <v>0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29460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29460</v>
      </c>
      <c r="I74" s="18">
        <f>I76+I78+I80+I82</f>
        <v>17460</v>
      </c>
      <c r="J74" s="18">
        <f>J76+J78+J80+J82</f>
        <v>12000</v>
      </c>
      <c r="K74" s="49">
        <f t="shared" si="2"/>
        <v>0</v>
      </c>
      <c r="L74" s="18">
        <f>L76+L78+L80+L82</f>
        <v>0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5</v>
      </c>
      <c r="E75" s="57">
        <f t="shared" ref="E75:E86" si="16">F75+G75</f>
        <v>0</v>
      </c>
      <c r="F75" s="62"/>
      <c r="G75" s="62"/>
      <c r="H75" s="48">
        <f t="shared" si="1"/>
        <v>5</v>
      </c>
      <c r="I75" s="359">
        <f>0.5+2.5</f>
        <v>3</v>
      </c>
      <c r="J75" s="20">
        <v>2</v>
      </c>
      <c r="K75" s="49">
        <f t="shared" si="2"/>
        <v>0</v>
      </c>
      <c r="L75" s="20"/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8500</v>
      </c>
      <c r="E76" s="57">
        <f t="shared" si="16"/>
        <v>0</v>
      </c>
      <c r="F76" s="62"/>
      <c r="G76" s="62"/>
      <c r="H76" s="48">
        <f t="shared" si="1"/>
        <v>8500</v>
      </c>
      <c r="I76" s="359">
        <f>I75*1700</f>
        <v>5100</v>
      </c>
      <c r="J76" s="20">
        <f>J75*1700</f>
        <v>3400</v>
      </c>
      <c r="K76" s="49">
        <f t="shared" si="2"/>
        <v>0</v>
      </c>
      <c r="L76" s="20"/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4.9000000000000004</v>
      </c>
      <c r="E77" s="57">
        <f t="shared" si="16"/>
        <v>0</v>
      </c>
      <c r="F77" s="62"/>
      <c r="G77" s="62"/>
      <c r="H77" s="48">
        <f t="shared" si="1"/>
        <v>4.9000000000000004</v>
      </c>
      <c r="I77" s="359">
        <f>1+1.9</f>
        <v>2.9</v>
      </c>
      <c r="J77" s="20">
        <v>2</v>
      </c>
      <c r="K77" s="49">
        <f t="shared" si="2"/>
        <v>0</v>
      </c>
      <c r="L77" s="20"/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8330</v>
      </c>
      <c r="E78" s="57">
        <f t="shared" si="16"/>
        <v>0</v>
      </c>
      <c r="F78" s="62"/>
      <c r="G78" s="62"/>
      <c r="H78" s="48">
        <f t="shared" ref="H78:H97" si="23">I78+J78</f>
        <v>8330</v>
      </c>
      <c r="I78" s="359">
        <f>I77*1700</f>
        <v>4930</v>
      </c>
      <c r="J78" s="20">
        <f>J77*1700</f>
        <v>3400</v>
      </c>
      <c r="K78" s="49">
        <f t="shared" ref="K78:K97" si="24">L78+M78</f>
        <v>0</v>
      </c>
      <c r="L78" s="185"/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3.3</v>
      </c>
      <c r="E79" s="57">
        <f t="shared" si="16"/>
        <v>0</v>
      </c>
      <c r="F79" s="62"/>
      <c r="G79" s="62"/>
      <c r="H79" s="48">
        <f t="shared" si="23"/>
        <v>3.3</v>
      </c>
      <c r="I79" s="359">
        <f>0.6+0.7</f>
        <v>1.2999999999999998</v>
      </c>
      <c r="J79" s="20">
        <v>2</v>
      </c>
      <c r="K79" s="49">
        <f t="shared" si="24"/>
        <v>0</v>
      </c>
      <c r="L79" s="20"/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5610</v>
      </c>
      <c r="E80" s="57">
        <f t="shared" si="16"/>
        <v>0</v>
      </c>
      <c r="F80" s="62"/>
      <c r="G80" s="62"/>
      <c r="H80" s="48">
        <f t="shared" si="23"/>
        <v>5610</v>
      </c>
      <c r="I80" s="359">
        <f>I79*1700</f>
        <v>2209.9999999999995</v>
      </c>
      <c r="J80" s="20">
        <f>J79*1700</f>
        <v>3400</v>
      </c>
      <c r="K80" s="49">
        <f t="shared" si="24"/>
        <v>0</v>
      </c>
      <c r="L80" s="20"/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3.9</v>
      </c>
      <c r="E81" s="57">
        <f t="shared" si="16"/>
        <v>0</v>
      </c>
      <c r="F81" s="62"/>
      <c r="G81" s="62"/>
      <c r="H81" s="48">
        <f t="shared" si="23"/>
        <v>3.9</v>
      </c>
      <c r="I81" s="359">
        <f>0.5+2.4</f>
        <v>2.9</v>
      </c>
      <c r="J81" s="20">
        <v>1</v>
      </c>
      <c r="K81" s="49">
        <f t="shared" si="24"/>
        <v>0</v>
      </c>
      <c r="L81" s="20"/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7020</v>
      </c>
      <c r="E82" s="57">
        <f t="shared" si="16"/>
        <v>0</v>
      </c>
      <c r="F82" s="62"/>
      <c r="G82" s="62"/>
      <c r="H82" s="48">
        <f t="shared" si="23"/>
        <v>7020</v>
      </c>
      <c r="I82" s="359">
        <f>I81*1800</f>
        <v>5220</v>
      </c>
      <c r="J82" s="20">
        <f>J81*1800</f>
        <v>1800</v>
      </c>
      <c r="K82" s="49">
        <f t="shared" si="24"/>
        <v>0</v>
      </c>
      <c r="L82" s="20"/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300</v>
      </c>
      <c r="E83" s="57">
        <f t="shared" si="16"/>
        <v>0</v>
      </c>
      <c r="F83" s="62"/>
      <c r="G83" s="62"/>
      <c r="H83" s="48">
        <f t="shared" si="23"/>
        <v>300</v>
      </c>
      <c r="I83" s="20">
        <v>300</v>
      </c>
      <c r="J83" s="20"/>
      <c r="K83" s="49">
        <f t="shared" si="24"/>
        <v>0</v>
      </c>
      <c r="L83" s="20"/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2000</v>
      </c>
      <c r="E84" s="57">
        <f t="shared" si="16"/>
        <v>0</v>
      </c>
      <c r="F84" s="62"/>
      <c r="G84" s="62"/>
      <c r="H84" s="48">
        <f t="shared" si="23"/>
        <v>2000</v>
      </c>
      <c r="I84" s="20">
        <v>2000</v>
      </c>
      <c r="J84" s="20"/>
      <c r="K84" s="49">
        <f t="shared" si="24"/>
        <v>0</v>
      </c>
      <c r="L84" s="20"/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1400</v>
      </c>
      <c r="E85" s="57">
        <f t="shared" si="16"/>
        <v>0</v>
      </c>
      <c r="F85" s="62"/>
      <c r="G85" s="62"/>
      <c r="H85" s="48">
        <f t="shared" si="23"/>
        <v>1400</v>
      </c>
      <c r="I85" s="20">
        <v>400</v>
      </c>
      <c r="J85" s="20">
        <v>1000</v>
      </c>
      <c r="K85" s="49">
        <f t="shared" si="24"/>
        <v>0</v>
      </c>
      <c r="L85" s="20"/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1800</v>
      </c>
      <c r="E86" s="57">
        <f t="shared" si="16"/>
        <v>0</v>
      </c>
      <c r="F86" s="62"/>
      <c r="G86" s="62"/>
      <c r="H86" s="48">
        <f t="shared" si="23"/>
        <v>1800</v>
      </c>
      <c r="I86" s="20">
        <v>800</v>
      </c>
      <c r="J86" s="20">
        <v>1000</v>
      </c>
      <c r="K86" s="49">
        <f t="shared" si="24"/>
        <v>0</v>
      </c>
      <c r="L86" s="20"/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3800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3800</v>
      </c>
      <c r="I87" s="195">
        <f t="shared" si="25"/>
        <v>3800</v>
      </c>
      <c r="J87" s="195">
        <f t="shared" si="25"/>
        <v>0</v>
      </c>
      <c r="K87" s="41">
        <f t="shared" si="24"/>
        <v>0</v>
      </c>
      <c r="L87" s="195">
        <f t="shared" si="25"/>
        <v>0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3.5</v>
      </c>
      <c r="E88" s="57">
        <f>F88+G88</f>
        <v>0</v>
      </c>
      <c r="F88" s="62"/>
      <c r="G88" s="62"/>
      <c r="H88" s="41">
        <f t="shared" si="23"/>
        <v>3.5</v>
      </c>
      <c r="I88" s="196">
        <v>3.5</v>
      </c>
      <c r="J88" s="197"/>
      <c r="K88" s="41">
        <f t="shared" si="24"/>
        <v>0</v>
      </c>
      <c r="L88" s="62"/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600</v>
      </c>
      <c r="E89" s="57">
        <f>F89+G89</f>
        <v>0</v>
      </c>
      <c r="F89" s="62"/>
      <c r="G89" s="62"/>
      <c r="H89" s="41">
        <f t="shared" si="23"/>
        <v>600</v>
      </c>
      <c r="I89" s="196">
        <v>600</v>
      </c>
      <c r="J89" s="197"/>
      <c r="K89" s="41">
        <f t="shared" si="24"/>
        <v>0</v>
      </c>
      <c r="L89" s="62"/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2000</v>
      </c>
      <c r="E90" s="57">
        <v>0</v>
      </c>
      <c r="F90" s="62"/>
      <c r="G90" s="62"/>
      <c r="H90" s="41">
        <f>I90+J91</f>
        <v>2000</v>
      </c>
      <c r="I90" s="196">
        <v>2000</v>
      </c>
      <c r="K90" s="41">
        <f t="shared" si="24"/>
        <v>0</v>
      </c>
      <c r="L90" s="62"/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1900</v>
      </c>
      <c r="E91" s="57">
        <f>F91+G91</f>
        <v>0</v>
      </c>
      <c r="F91" s="62"/>
      <c r="G91" s="62"/>
      <c r="H91" s="41">
        <f t="shared" ref="H91:H93" si="31">I91+J92</f>
        <v>1900</v>
      </c>
      <c r="I91" s="196">
        <v>1900</v>
      </c>
      <c r="J91" s="197"/>
      <c r="K91" s="41">
        <f t="shared" si="24"/>
        <v>0</v>
      </c>
      <c r="L91" s="62"/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300</v>
      </c>
      <c r="E92" s="57">
        <f>F92+G92</f>
        <v>0</v>
      </c>
      <c r="F92" s="62"/>
      <c r="G92" s="62"/>
      <c r="H92" s="41">
        <f t="shared" si="31"/>
        <v>300</v>
      </c>
      <c r="I92" s="196">
        <v>300</v>
      </c>
      <c r="J92" s="197"/>
      <c r="K92" s="41">
        <f t="shared" si="24"/>
        <v>0</v>
      </c>
      <c r="L92" s="62"/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2524</v>
      </c>
      <c r="E93" s="57">
        <f>F93+G93</f>
        <v>0</v>
      </c>
      <c r="F93" s="62"/>
      <c r="G93" s="62"/>
      <c r="H93" s="41">
        <f t="shared" si="31"/>
        <v>2524</v>
      </c>
      <c r="I93" s="196">
        <v>1300</v>
      </c>
      <c r="J93" s="197"/>
      <c r="K93" s="41">
        <f t="shared" si="24"/>
        <v>0</v>
      </c>
      <c r="L93" s="62"/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1224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1224</v>
      </c>
      <c r="I94" s="205">
        <f t="shared" si="32"/>
        <v>0</v>
      </c>
      <c r="J94" s="205">
        <f t="shared" si="32"/>
        <v>1224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1224</v>
      </c>
      <c r="E95" s="57">
        <f>F95+G95</f>
        <v>0</v>
      </c>
      <c r="F95" s="62"/>
      <c r="G95" s="62"/>
      <c r="H95" s="41">
        <f t="shared" si="23"/>
        <v>1224</v>
      </c>
      <c r="I95" s="62"/>
      <c r="J95" s="62">
        <v>1224</v>
      </c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17274.141999999993</v>
      </c>
      <c r="E97" s="211">
        <f>F97+G97</f>
        <v>0</v>
      </c>
      <c r="F97" s="212"/>
      <c r="G97" s="212"/>
      <c r="H97" s="41">
        <f t="shared" si="23"/>
        <v>17274.141999999993</v>
      </c>
      <c r="I97" s="360">
        <f>93133.15-82666.766+6807.758</f>
        <v>17274.141999999993</v>
      </c>
      <c r="J97" s="212"/>
      <c r="K97" s="41">
        <f t="shared" si="24"/>
        <v>0</v>
      </c>
      <c r="L97" s="212"/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112930.90789999999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107252.51789999999</v>
      </c>
      <c r="I98" s="144">
        <f>I97+I94+I87+I72+I13</f>
        <v>64828.96149999999</v>
      </c>
      <c r="J98" s="144">
        <f>J97+J94+J87+J72+J13</f>
        <v>42423.556400000001</v>
      </c>
      <c r="K98" s="41">
        <f>L98+M98</f>
        <v>5678.39</v>
      </c>
      <c r="L98" s="218">
        <f t="shared" si="33"/>
        <v>716.8900000000001</v>
      </c>
      <c r="M98" s="218">
        <f>M97+M94+M87+M72+M13</f>
        <v>4961.5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-32282.180899999992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900</v>
      </c>
      <c r="E100" s="27"/>
      <c r="F100" s="27"/>
      <c r="G100" s="27"/>
      <c r="H100" s="27"/>
      <c r="I100" s="27">
        <f>H97-I97</f>
        <v>0</v>
      </c>
      <c r="J100" s="27">
        <f>I97+E99</f>
        <v>-15008.0389</v>
      </c>
      <c r="K100" s="27"/>
      <c r="L100" s="27"/>
      <c r="M100" s="27">
        <f>9567.184-K98</f>
        <v>3888.793999999999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/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/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/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/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/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/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211</v>
      </c>
      <c r="B157" s="5"/>
      <c r="C157" s="5"/>
      <c r="D157" s="5"/>
      <c r="E157" s="5"/>
    </row>
    <row r="158" spans="1:24" s="6" customFormat="1">
      <c r="A158" s="1748" t="s">
        <v>212</v>
      </c>
      <c r="B158" s="1748"/>
      <c r="C158" s="1748"/>
      <c r="D158" s="1748"/>
    </row>
    <row r="159" spans="1:24" s="6" customFormat="1">
      <c r="A159" s="7"/>
    </row>
    <row r="160" spans="1:24" s="6" customFormat="1">
      <c r="A160" s="5" t="s">
        <v>213</v>
      </c>
      <c r="B160" s="5"/>
      <c r="C160" s="5"/>
      <c r="D160" s="5"/>
      <c r="E160" s="5"/>
    </row>
    <row r="163" ht="6" customHeight="1"/>
  </sheetData>
  <mergeCells count="22">
    <mergeCell ref="A7:M7"/>
    <mergeCell ref="T2:X2"/>
    <mergeCell ref="T3:X3"/>
    <mergeCell ref="T4:X4"/>
    <mergeCell ref="T5:X5"/>
    <mergeCell ref="T6:X6"/>
    <mergeCell ref="A14:A16"/>
    <mergeCell ref="A101:T101"/>
    <mergeCell ref="A158:D15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5"/>
  <dimension ref="A2:IV163"/>
  <sheetViews>
    <sheetView topLeftCell="A49" zoomScale="80" zoomScaleNormal="80" workbookViewId="0">
      <selection activeCell="J20" sqref="J20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10" customWidth="1"/>
    <col min="5" max="5" width="0.7109375" style="10" customWidth="1"/>
    <col min="6" max="7" width="0" style="9" hidden="1" customWidth="1"/>
    <col min="8" max="8" width="10" style="9" customWidth="1"/>
    <col min="9" max="9" width="10.28515625" style="9" customWidth="1"/>
    <col min="10" max="10" width="11.28515625" style="9" customWidth="1"/>
    <col min="11" max="11" width="11.5703125" style="10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188</v>
      </c>
      <c r="U6" s="1755"/>
      <c r="V6" s="1755"/>
      <c r="W6" s="1755"/>
      <c r="X6" s="1755"/>
    </row>
    <row r="7" spans="1:27" ht="53.25" customHeight="1">
      <c r="A7" s="1754" t="s">
        <v>201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262" t="s">
        <v>190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30"/>
      <c r="P8" s="262"/>
      <c r="Q8" s="262"/>
      <c r="R8" s="262"/>
      <c r="S8" s="262"/>
      <c r="T8" s="262"/>
      <c r="U8" s="9"/>
      <c r="V8" s="9"/>
      <c r="W8" s="9"/>
      <c r="X8" s="9"/>
    </row>
    <row r="9" spans="1:27" ht="15.75" thickBot="1">
      <c r="A9" s="11"/>
      <c r="D9" s="12"/>
      <c r="E9" s="12"/>
      <c r="F9" s="13"/>
      <c r="G9" s="13"/>
      <c r="H9" s="13"/>
      <c r="I9" s="13"/>
      <c r="J9" s="13"/>
      <c r="K9" s="12"/>
      <c r="L9" s="13"/>
      <c r="M9" s="13"/>
      <c r="N9" s="13"/>
      <c r="O9" s="13"/>
      <c r="P9" s="12"/>
      <c r="Q9" s="13"/>
      <c r="R9" s="31"/>
      <c r="S9" s="31"/>
      <c r="T9" s="13"/>
      <c r="U9" s="31"/>
      <c r="W9" s="31" t="s">
        <v>0</v>
      </c>
      <c r="X9" s="31"/>
    </row>
    <row r="10" spans="1:27" ht="27.75" customHeight="1" thickBot="1">
      <c r="A10" s="1723" t="s">
        <v>1</v>
      </c>
      <c r="B10" s="1751" t="s">
        <v>2</v>
      </c>
      <c r="C10" s="1882" t="s">
        <v>3</v>
      </c>
      <c r="D10" s="188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882"/>
      <c r="D11" s="1883"/>
      <c r="E11" s="1749" t="s">
        <v>9</v>
      </c>
      <c r="F11" s="1749"/>
      <c r="G11" s="1749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882"/>
      <c r="D12" s="1883"/>
      <c r="E12" s="32" t="s">
        <v>14</v>
      </c>
      <c r="F12" s="33" t="s">
        <v>15</v>
      </c>
      <c r="G12" s="33" t="s">
        <v>16</v>
      </c>
      <c r="H12" s="34" t="s">
        <v>14</v>
      </c>
      <c r="I12" s="35" t="s">
        <v>15</v>
      </c>
      <c r="J12" s="35" t="s">
        <v>16</v>
      </c>
      <c r="K12" s="3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s="15" customFormat="1" ht="46.35" customHeight="1" thickTop="1" thickBot="1">
      <c r="A13" s="38" t="s">
        <v>19</v>
      </c>
      <c r="B13" s="39" t="s">
        <v>20</v>
      </c>
      <c r="C13" s="40" t="s">
        <v>21</v>
      </c>
      <c r="D13" s="41">
        <f t="shared" ref="D13:D76" si="0">H13+K13</f>
        <v>57372.765899999999</v>
      </c>
      <c r="E13" s="41">
        <f>E16+E23+E34+E36+E39+E41+E43+E45+E47+E49+E51+E53+E55+E57+E59+E61+E63+E65+E67+E69+E71</f>
        <v>0</v>
      </c>
      <c r="F13" s="41">
        <f>F16+F23+F34+F36+F39+F41+F43+F45+F47+F49+F51+F53+F55+F57+F59+F61+F63+F65+F67+F69+F71</f>
        <v>0</v>
      </c>
      <c r="G13" s="41">
        <f>G16+G23+G34+G36+G39+G41+G43+G45+G47+G49+G51+G53+G55+G57+G59+G61+G63+G65+G67+G69+G71</f>
        <v>0</v>
      </c>
      <c r="H13" s="41">
        <f>I13+J13</f>
        <v>51694.375899999999</v>
      </c>
      <c r="I13" s="41">
        <f>I16+I23+I34+I36+I39+I41+I43+I45+I47+I49+I51+I53+I55+I57+I59+I61+I63+I65+I67+I69+I71</f>
        <v>23494.819499999998</v>
      </c>
      <c r="J13" s="41">
        <f>J16+J23+J34+J36+J39+J41+J43+J45+J47+J49+J51+J53+J55+J57+J59+J61+J63+J65+J67+J69+J71</f>
        <v>28199.556399999998</v>
      </c>
      <c r="K13" s="41">
        <f>L13+M13</f>
        <v>5678.39</v>
      </c>
      <c r="L13" s="41">
        <f>L16+L23+L34+L36+L39+L41+L43+L45+L47+L49+L51+L53+L55+L57+L59+L61+L63+L65+L67+L69+L71</f>
        <v>716.8900000000001</v>
      </c>
      <c r="M13" s="41">
        <f>M16+M23+M34+M36+M39+M41+M43+M45+M47+M49+M51+M53+M55+M57+M59+M61+M63+M65+M67+M69+M71</f>
        <v>4961.5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14"/>
      <c r="Z13" s="14"/>
      <c r="AA13" s="14"/>
    </row>
    <row r="14" spans="1:27" ht="31.5" customHeight="1" thickBot="1">
      <c r="A14" s="1881">
        <v>1</v>
      </c>
      <c r="B14" s="44" t="s">
        <v>22</v>
      </c>
      <c r="C14" s="45" t="s">
        <v>23</v>
      </c>
      <c r="D14" s="41">
        <f t="shared" si="0"/>
        <v>78</v>
      </c>
      <c r="E14" s="46"/>
      <c r="F14" s="46"/>
      <c r="G14" s="47"/>
      <c r="H14" s="48">
        <f t="shared" ref="H14:H77" si="1">I14+J14</f>
        <v>69</v>
      </c>
      <c r="I14" s="16">
        <v>69</v>
      </c>
      <c r="J14" s="16">
        <v>0</v>
      </c>
      <c r="K14" s="49">
        <f t="shared" ref="K14:K77" si="2">L14+M14</f>
        <v>9</v>
      </c>
      <c r="L14" s="16">
        <v>9</v>
      </c>
      <c r="M14" s="16">
        <v>0</v>
      </c>
      <c r="N14" s="50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7" ht="16.5" thickBot="1">
      <c r="A15" s="1881"/>
      <c r="B15" s="51"/>
      <c r="C15" s="52" t="s">
        <v>24</v>
      </c>
      <c r="D15" s="41">
        <f t="shared" si="0"/>
        <v>3.9447000000000001</v>
      </c>
      <c r="E15" s="53">
        <f>E17+E19+E21</f>
        <v>0</v>
      </c>
      <c r="F15" s="53">
        <f>F17+F19+F21</f>
        <v>0</v>
      </c>
      <c r="G15" s="53">
        <f>G17+G19+G21</f>
        <v>0</v>
      </c>
      <c r="H15" s="48">
        <f t="shared" si="1"/>
        <v>3.2983000000000002</v>
      </c>
      <c r="I15" s="18">
        <f>I17+I19</f>
        <v>3.2983000000000002</v>
      </c>
      <c r="J15" s="18">
        <f>J17+J19</f>
        <v>0</v>
      </c>
      <c r="K15" s="49">
        <f t="shared" si="2"/>
        <v>0.64639999999999997</v>
      </c>
      <c r="L15" s="18">
        <f>L17+L19</f>
        <v>0.64639999999999997</v>
      </c>
      <c r="M15" s="18">
        <f>M17+M19</f>
        <v>0</v>
      </c>
      <c r="N15" s="54">
        <f t="shared" ref="N15:X16" si="3">N17+N19</f>
        <v>0</v>
      </c>
      <c r="O15" s="53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0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9"/>
      <c r="Z15" s="9"/>
      <c r="AA15" s="9"/>
    </row>
    <row r="16" spans="1:27" ht="16.5" thickBot="1">
      <c r="A16" s="1881"/>
      <c r="B16" s="55" t="s">
        <v>25</v>
      </c>
      <c r="C16" s="56" t="s">
        <v>21</v>
      </c>
      <c r="D16" s="41">
        <f t="shared" si="0"/>
        <v>1927.7079999999996</v>
      </c>
      <c r="E16" s="57">
        <f>E18+E20</f>
        <v>0</v>
      </c>
      <c r="F16" s="57">
        <f>F18+F20</f>
        <v>0</v>
      </c>
      <c r="G16" s="58">
        <f>G18+G20</f>
        <v>0</v>
      </c>
      <c r="H16" s="48">
        <f t="shared" si="1"/>
        <v>1539.8679999999997</v>
      </c>
      <c r="I16" s="18">
        <f>I18+I20+I21</f>
        <v>1539.8679999999997</v>
      </c>
      <c r="J16" s="18">
        <f>J18+J20+J21</f>
        <v>0</v>
      </c>
      <c r="K16" s="49">
        <f t="shared" si="2"/>
        <v>387.84</v>
      </c>
      <c r="L16" s="18">
        <f>L18+L20+L21</f>
        <v>387.84</v>
      </c>
      <c r="M16" s="18">
        <f>M18+M20+M21</f>
        <v>0</v>
      </c>
      <c r="N16" s="59">
        <f t="shared" si="3"/>
        <v>0</v>
      </c>
      <c r="O16" s="57">
        <f t="shared" si="3"/>
        <v>0</v>
      </c>
      <c r="P16" s="57">
        <f t="shared" si="3"/>
        <v>0</v>
      </c>
      <c r="Q16" s="57">
        <f t="shared" si="3"/>
        <v>0</v>
      </c>
      <c r="R16" s="57">
        <f t="shared" si="3"/>
        <v>0</v>
      </c>
      <c r="S16" s="57">
        <f t="shared" si="3"/>
        <v>0</v>
      </c>
      <c r="T16" s="57">
        <f t="shared" si="3"/>
        <v>0</v>
      </c>
      <c r="U16" s="57">
        <f t="shared" si="3"/>
        <v>0</v>
      </c>
      <c r="V16" s="57">
        <f t="shared" si="3"/>
        <v>0</v>
      </c>
      <c r="W16" s="57">
        <f t="shared" si="3"/>
        <v>0</v>
      </c>
      <c r="X16" s="57">
        <f t="shared" si="3"/>
        <v>0</v>
      </c>
      <c r="Y16" s="9"/>
      <c r="Z16" s="9"/>
      <c r="AA16" s="9"/>
    </row>
    <row r="17" spans="1:27" ht="16.5" thickBot="1">
      <c r="A17" s="60" t="s">
        <v>26</v>
      </c>
      <c r="B17" s="61" t="s">
        <v>27</v>
      </c>
      <c r="C17" s="56" t="s">
        <v>24</v>
      </c>
      <c r="D17" s="41">
        <f t="shared" si="0"/>
        <v>1.4177</v>
      </c>
      <c r="E17" s="57">
        <f>F17+G17</f>
        <v>0</v>
      </c>
      <c r="F17" s="62"/>
      <c r="G17" s="63"/>
      <c r="H17" s="48">
        <f t="shared" si="1"/>
        <v>1.4177</v>
      </c>
      <c r="I17" s="261">
        <v>1.4177</v>
      </c>
      <c r="J17" s="20">
        <v>0</v>
      </c>
      <c r="K17" s="49">
        <f t="shared" si="2"/>
        <v>0</v>
      </c>
      <c r="L17" s="20"/>
      <c r="M17" s="20"/>
      <c r="N17" s="59">
        <f t="shared" ref="N17:N32" si="4">O17</f>
        <v>0</v>
      </c>
      <c r="O17" s="64"/>
      <c r="P17" s="58">
        <f t="shared" ref="P17:P71" si="5">Q17</f>
        <v>0</v>
      </c>
      <c r="Q17" s="65"/>
      <c r="R17" s="66">
        <f t="shared" ref="R17:R71" si="6">S17+T17</f>
        <v>0</v>
      </c>
      <c r="S17" s="65"/>
      <c r="T17" s="65"/>
      <c r="U17" s="66">
        <f t="shared" ref="U17:U71" si="7">V17</f>
        <v>0</v>
      </c>
      <c r="V17" s="65"/>
      <c r="W17" s="66">
        <f t="shared" ref="W17:W39" si="8">X17</f>
        <v>0</v>
      </c>
      <c r="X17" s="65"/>
      <c r="Y17" s="9"/>
      <c r="Z17" s="9"/>
      <c r="AA17" s="9"/>
    </row>
    <row r="18" spans="1:27" ht="16.5" thickBot="1">
      <c r="A18" s="67"/>
      <c r="B18" s="61"/>
      <c r="C18" s="56" t="s">
        <v>21</v>
      </c>
      <c r="D18" s="41">
        <f t="shared" si="0"/>
        <v>411.50799999999987</v>
      </c>
      <c r="E18" s="57">
        <f>F18+G18</f>
        <v>0</v>
      </c>
      <c r="F18" s="62"/>
      <c r="G18" s="63"/>
      <c r="H18" s="48">
        <f t="shared" si="1"/>
        <v>411.50799999999987</v>
      </c>
      <c r="I18" s="20">
        <v>411.50799999999987</v>
      </c>
      <c r="J18" s="20">
        <v>0</v>
      </c>
      <c r="K18" s="49">
        <f t="shared" si="2"/>
        <v>0</v>
      </c>
      <c r="L18" s="20"/>
      <c r="M18" s="20"/>
      <c r="N18" s="66">
        <f t="shared" si="4"/>
        <v>0</v>
      </c>
      <c r="O18" s="68"/>
      <c r="P18" s="66">
        <f t="shared" si="5"/>
        <v>0</v>
      </c>
      <c r="Q18" s="65"/>
      <c r="R18" s="66">
        <f t="shared" si="6"/>
        <v>0</v>
      </c>
      <c r="S18" s="65"/>
      <c r="T18" s="65"/>
      <c r="U18" s="66">
        <f t="shared" si="7"/>
        <v>0</v>
      </c>
      <c r="V18" s="65"/>
      <c r="W18" s="66">
        <f t="shared" si="8"/>
        <v>0</v>
      </c>
      <c r="X18" s="65"/>
      <c r="Y18" s="9"/>
      <c r="Z18" s="9"/>
      <c r="AA18" s="9"/>
    </row>
    <row r="19" spans="1:27" ht="16.5" thickBot="1">
      <c r="A19" s="67" t="s">
        <v>28</v>
      </c>
      <c r="B19" s="61" t="s">
        <v>29</v>
      </c>
      <c r="C19" s="56" t="s">
        <v>24</v>
      </c>
      <c r="D19" s="41">
        <f t="shared" si="0"/>
        <v>2.5270000000000001</v>
      </c>
      <c r="E19" s="57">
        <f>F19+G19</f>
        <v>0</v>
      </c>
      <c r="F19" s="62"/>
      <c r="G19" s="63"/>
      <c r="H19" s="48">
        <f t="shared" si="1"/>
        <v>1.8806000000000003</v>
      </c>
      <c r="I19" s="28">
        <v>1.8806000000000003</v>
      </c>
      <c r="J19" s="20"/>
      <c r="K19" s="49">
        <f t="shared" si="2"/>
        <v>0.64639999999999997</v>
      </c>
      <c r="L19" s="20">
        <v>0.64639999999999997</v>
      </c>
      <c r="M19" s="20">
        <v>0</v>
      </c>
      <c r="N19" s="66">
        <f t="shared" si="4"/>
        <v>0</v>
      </c>
      <c r="O19" s="68"/>
      <c r="P19" s="66">
        <f t="shared" si="5"/>
        <v>0</v>
      </c>
      <c r="Q19" s="65"/>
      <c r="R19" s="66">
        <f t="shared" si="6"/>
        <v>0</v>
      </c>
      <c r="S19" s="65"/>
      <c r="T19" s="65"/>
      <c r="U19" s="66">
        <f t="shared" si="7"/>
        <v>0</v>
      </c>
      <c r="V19" s="65"/>
      <c r="W19" s="66">
        <f t="shared" si="8"/>
        <v>0</v>
      </c>
      <c r="X19" s="65"/>
      <c r="Y19" s="9"/>
      <c r="Z19" s="9"/>
      <c r="AA19" s="9"/>
    </row>
    <row r="20" spans="1:27" ht="16.5" thickBot="1">
      <c r="A20" s="69"/>
      <c r="B20" s="70"/>
      <c r="C20" s="71" t="s">
        <v>21</v>
      </c>
      <c r="D20" s="41">
        <f t="shared" si="0"/>
        <v>1516.1999999999998</v>
      </c>
      <c r="E20" s="72">
        <f>F20+G20</f>
        <v>0</v>
      </c>
      <c r="F20" s="73"/>
      <c r="G20" s="74"/>
      <c r="H20" s="48">
        <f t="shared" si="1"/>
        <v>1128.3599999999999</v>
      </c>
      <c r="I20" s="20">
        <v>1128.3599999999999</v>
      </c>
      <c r="J20" s="20"/>
      <c r="K20" s="49">
        <f t="shared" si="2"/>
        <v>387.84</v>
      </c>
      <c r="L20" s="20">
        <v>387.84</v>
      </c>
      <c r="M20" s="20">
        <v>0</v>
      </c>
      <c r="N20" s="75">
        <f t="shared" si="4"/>
        <v>0</v>
      </c>
      <c r="O20" s="68"/>
      <c r="P20" s="75">
        <f t="shared" si="5"/>
        <v>0</v>
      </c>
      <c r="Q20" s="65"/>
      <c r="R20" s="75">
        <f t="shared" si="6"/>
        <v>0</v>
      </c>
      <c r="S20" s="65"/>
      <c r="T20" s="65"/>
      <c r="U20" s="75">
        <f t="shared" si="7"/>
        <v>0</v>
      </c>
      <c r="V20" s="65"/>
      <c r="W20" s="75">
        <f t="shared" si="8"/>
        <v>0</v>
      </c>
      <c r="X20" s="65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78" t="s">
        <v>21</v>
      </c>
      <c r="D21" s="41">
        <f t="shared" si="0"/>
        <v>0</v>
      </c>
      <c r="E21" s="79">
        <v>0</v>
      </c>
      <c r="F21" s="79">
        <v>0</v>
      </c>
      <c r="G21" s="80">
        <v>0</v>
      </c>
      <c r="H21" s="48">
        <f t="shared" si="1"/>
        <v>0</v>
      </c>
      <c r="I21" s="20"/>
      <c r="J21" s="20"/>
      <c r="K21" s="49">
        <f t="shared" si="2"/>
        <v>0</v>
      </c>
      <c r="L21" s="20"/>
      <c r="M21" s="20"/>
      <c r="N21" s="81">
        <f t="shared" si="4"/>
        <v>0</v>
      </c>
      <c r="O21" s="68"/>
      <c r="P21" s="81">
        <f t="shared" si="5"/>
        <v>0</v>
      </c>
      <c r="Q21" s="65"/>
      <c r="R21" s="81">
        <f t="shared" si="6"/>
        <v>0</v>
      </c>
      <c r="S21" s="65"/>
      <c r="T21" s="65"/>
      <c r="U21" s="81">
        <f t="shared" si="7"/>
        <v>0</v>
      </c>
      <c r="V21" s="65"/>
      <c r="W21" s="81">
        <f t="shared" si="8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 t="shared" si="0"/>
        <v>6</v>
      </c>
      <c r="E22" s="85"/>
      <c r="F22" s="86"/>
      <c r="G22" s="87"/>
      <c r="H22" s="41">
        <f t="shared" si="1"/>
        <v>6</v>
      </c>
      <c r="I22" s="86"/>
      <c r="J22" s="86">
        <v>6</v>
      </c>
      <c r="K22" s="41">
        <f t="shared" si="2"/>
        <v>0</v>
      </c>
      <c r="L22" s="86">
        <v>0</v>
      </c>
      <c r="M22" s="86"/>
      <c r="N22" s="88">
        <f t="shared" si="4"/>
        <v>0</v>
      </c>
      <c r="O22" s="89"/>
      <c r="P22" s="88">
        <f t="shared" si="5"/>
        <v>0</v>
      </c>
      <c r="Q22" s="90"/>
      <c r="R22" s="88">
        <f t="shared" si="6"/>
        <v>0</v>
      </c>
      <c r="S22" s="90"/>
      <c r="T22" s="90"/>
      <c r="U22" s="88">
        <f t="shared" si="7"/>
        <v>0</v>
      </c>
      <c r="V22" s="90"/>
      <c r="W22" s="88">
        <f t="shared" si="8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0"/>
        <v>1866.1920000000002</v>
      </c>
      <c r="E23" s="94"/>
      <c r="F23" s="95"/>
      <c r="G23" s="96"/>
      <c r="H23" s="41">
        <f t="shared" si="1"/>
        <v>1866.1920000000002</v>
      </c>
      <c r="I23" s="95">
        <f>I25+I27+I29+I31+I32</f>
        <v>0</v>
      </c>
      <c r="J23" s="95">
        <f>J25+J27+J29+J31+J32</f>
        <v>1866.1920000000002</v>
      </c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97">
        <f t="shared" si="4"/>
        <v>0</v>
      </c>
      <c r="O23" s="89"/>
      <c r="P23" s="97">
        <f t="shared" si="5"/>
        <v>0</v>
      </c>
      <c r="Q23" s="90"/>
      <c r="R23" s="97">
        <f t="shared" si="6"/>
        <v>0</v>
      </c>
      <c r="S23" s="90"/>
      <c r="T23" s="90"/>
      <c r="U23" s="97">
        <f t="shared" si="7"/>
        <v>0</v>
      </c>
      <c r="V23" s="90"/>
      <c r="W23" s="97">
        <f t="shared" si="8"/>
        <v>0</v>
      </c>
      <c r="X23" s="90"/>
    </row>
    <row r="24" spans="1:27" thickBot="1">
      <c r="A24" s="98" t="s">
        <v>35</v>
      </c>
      <c r="B24" s="99" t="s">
        <v>36</v>
      </c>
      <c r="C24" s="100" t="s">
        <v>37</v>
      </c>
      <c r="D24" s="41">
        <f t="shared" si="0"/>
        <v>227.12</v>
      </c>
      <c r="E24" s="57"/>
      <c r="F24" s="62"/>
      <c r="G24" s="63"/>
      <c r="H24" s="41">
        <f t="shared" si="1"/>
        <v>227.12</v>
      </c>
      <c r="I24" s="101"/>
      <c r="J24" s="101">
        <v>227.12</v>
      </c>
      <c r="K24" s="41">
        <f t="shared" si="2"/>
        <v>0</v>
      </c>
      <c r="L24" s="101"/>
      <c r="M24" s="101"/>
      <c r="N24" s="66">
        <f t="shared" si="4"/>
        <v>0</v>
      </c>
      <c r="O24" s="68"/>
      <c r="P24" s="66">
        <f t="shared" si="5"/>
        <v>0</v>
      </c>
      <c r="Q24" s="65"/>
      <c r="R24" s="66">
        <f t="shared" si="6"/>
        <v>0</v>
      </c>
      <c r="S24" s="65"/>
      <c r="T24" s="65"/>
      <c r="U24" s="66">
        <f t="shared" si="7"/>
        <v>0</v>
      </c>
      <c r="V24" s="65"/>
      <c r="W24" s="66">
        <f t="shared" si="8"/>
        <v>0</v>
      </c>
      <c r="X24" s="65"/>
      <c r="Y24" s="9"/>
      <c r="Z24" s="9"/>
      <c r="AA24" s="9"/>
    </row>
    <row r="25" spans="1:27" thickBot="1">
      <c r="A25" s="98"/>
      <c r="B25" s="99"/>
      <c r="C25" s="100" t="s">
        <v>21</v>
      </c>
      <c r="D25" s="41">
        <f t="shared" si="0"/>
        <v>1247.5320000000002</v>
      </c>
      <c r="E25" s="57"/>
      <c r="F25" s="62"/>
      <c r="G25" s="63"/>
      <c r="H25" s="41">
        <f t="shared" si="1"/>
        <v>1247.5320000000002</v>
      </c>
      <c r="I25" s="101"/>
      <c r="J25" s="101">
        <v>1247.5320000000002</v>
      </c>
      <c r="K25" s="41">
        <f t="shared" si="2"/>
        <v>0</v>
      </c>
      <c r="L25" s="101"/>
      <c r="M25" s="101"/>
      <c r="N25" s="66">
        <f t="shared" si="4"/>
        <v>0</v>
      </c>
      <c r="O25" s="68"/>
      <c r="P25" s="66">
        <f t="shared" si="5"/>
        <v>0</v>
      </c>
      <c r="Q25" s="65"/>
      <c r="R25" s="66">
        <f t="shared" si="6"/>
        <v>0</v>
      </c>
      <c r="S25" s="65"/>
      <c r="T25" s="65"/>
      <c r="U25" s="66">
        <f t="shared" si="7"/>
        <v>0</v>
      </c>
      <c r="V25" s="65"/>
      <c r="W25" s="66">
        <f t="shared" si="8"/>
        <v>0</v>
      </c>
      <c r="X25" s="65"/>
      <c r="Y25" s="9"/>
      <c r="Z25" s="9"/>
      <c r="AA25" s="9"/>
    </row>
    <row r="26" spans="1:27" thickBot="1">
      <c r="A26" s="102" t="s">
        <v>38</v>
      </c>
      <c r="B26" s="103" t="s">
        <v>39</v>
      </c>
      <c r="C26" s="104" t="s">
        <v>40</v>
      </c>
      <c r="D26" s="41">
        <f t="shared" si="0"/>
        <v>452</v>
      </c>
      <c r="E26" s="57"/>
      <c r="F26" s="62"/>
      <c r="G26" s="63"/>
      <c r="H26" s="41">
        <f t="shared" si="1"/>
        <v>452</v>
      </c>
      <c r="I26" s="101"/>
      <c r="J26" s="101">
        <v>452</v>
      </c>
      <c r="K26" s="41">
        <f t="shared" si="2"/>
        <v>0</v>
      </c>
      <c r="L26" s="101"/>
      <c r="M26" s="101"/>
      <c r="N26" s="66">
        <f t="shared" si="4"/>
        <v>0</v>
      </c>
      <c r="O26" s="68"/>
      <c r="P26" s="66">
        <f t="shared" si="5"/>
        <v>0</v>
      </c>
      <c r="Q26" s="65"/>
      <c r="R26" s="66">
        <f t="shared" si="6"/>
        <v>0</v>
      </c>
      <c r="S26" s="65"/>
      <c r="T26" s="65"/>
      <c r="U26" s="66">
        <f t="shared" si="7"/>
        <v>0</v>
      </c>
      <c r="V26" s="65"/>
      <c r="W26" s="66">
        <f t="shared" si="8"/>
        <v>0</v>
      </c>
      <c r="X26" s="65"/>
      <c r="Y26" s="9"/>
      <c r="Z26" s="9"/>
      <c r="AA26" s="9"/>
    </row>
    <row r="27" spans="1:27" ht="16.5" thickBot="1">
      <c r="A27" s="105"/>
      <c r="B27" s="106" t="s">
        <v>41</v>
      </c>
      <c r="C27" s="107" t="s">
        <v>21</v>
      </c>
      <c r="D27" s="41">
        <f t="shared" si="0"/>
        <v>566.60500000000002</v>
      </c>
      <c r="E27" s="57"/>
      <c r="F27" s="62"/>
      <c r="G27" s="63"/>
      <c r="H27" s="41">
        <f t="shared" si="1"/>
        <v>566.60500000000002</v>
      </c>
      <c r="I27" s="101"/>
      <c r="J27" s="101">
        <v>566.60500000000002</v>
      </c>
      <c r="K27" s="41">
        <f t="shared" si="2"/>
        <v>0</v>
      </c>
      <c r="L27" s="101"/>
      <c r="M27" s="101"/>
      <c r="N27" s="66">
        <f t="shared" si="4"/>
        <v>0</v>
      </c>
      <c r="O27" s="68"/>
      <c r="P27" s="66">
        <f t="shared" si="5"/>
        <v>0</v>
      </c>
      <c r="Q27" s="65"/>
      <c r="R27" s="66">
        <f t="shared" si="6"/>
        <v>0</v>
      </c>
      <c r="S27" s="65"/>
      <c r="T27" s="65"/>
      <c r="U27" s="66">
        <f t="shared" si="7"/>
        <v>0</v>
      </c>
      <c r="V27" s="65"/>
      <c r="W27" s="66">
        <f t="shared" si="8"/>
        <v>0</v>
      </c>
      <c r="X27" s="65"/>
      <c r="Y27" s="9"/>
      <c r="Z27" s="9"/>
      <c r="AA27" s="9"/>
    </row>
    <row r="28" spans="1:27" ht="16.5" thickBot="1">
      <c r="A28" s="102" t="s">
        <v>42</v>
      </c>
      <c r="B28" s="108" t="s">
        <v>43</v>
      </c>
      <c r="C28" s="104" t="s">
        <v>40</v>
      </c>
      <c r="D28" s="41">
        <f t="shared" si="0"/>
        <v>0</v>
      </c>
      <c r="E28" s="57"/>
      <c r="F28" s="62"/>
      <c r="G28" s="63"/>
      <c r="H28" s="41">
        <f t="shared" si="1"/>
        <v>0</v>
      </c>
      <c r="I28" s="101"/>
      <c r="J28" s="101">
        <v>0</v>
      </c>
      <c r="K28" s="41">
        <f t="shared" si="2"/>
        <v>0</v>
      </c>
      <c r="L28" s="101"/>
      <c r="M28" s="101"/>
      <c r="N28" s="66">
        <f t="shared" si="4"/>
        <v>0</v>
      </c>
      <c r="O28" s="68"/>
      <c r="P28" s="66">
        <f t="shared" si="5"/>
        <v>0</v>
      </c>
      <c r="Q28" s="65"/>
      <c r="R28" s="66">
        <f t="shared" si="6"/>
        <v>0</v>
      </c>
      <c r="S28" s="65"/>
      <c r="T28" s="65"/>
      <c r="U28" s="66">
        <f t="shared" si="7"/>
        <v>0</v>
      </c>
      <c r="V28" s="65"/>
      <c r="W28" s="66">
        <f t="shared" si="8"/>
        <v>0</v>
      </c>
      <c r="X28" s="65"/>
      <c r="Y28" s="9"/>
      <c r="Z28" s="9"/>
      <c r="AA28" s="9"/>
    </row>
    <row r="29" spans="1:27" ht="16.5" thickBot="1">
      <c r="A29" s="105"/>
      <c r="B29" s="106" t="s">
        <v>44</v>
      </c>
      <c r="C29" s="107" t="s">
        <v>21</v>
      </c>
      <c r="D29" s="41">
        <f t="shared" si="0"/>
        <v>0</v>
      </c>
      <c r="E29" s="57"/>
      <c r="F29" s="62"/>
      <c r="G29" s="63"/>
      <c r="H29" s="41">
        <f t="shared" si="1"/>
        <v>0</v>
      </c>
      <c r="I29" s="101"/>
      <c r="J29" s="101">
        <v>0</v>
      </c>
      <c r="K29" s="41">
        <f t="shared" si="2"/>
        <v>0</v>
      </c>
      <c r="L29" s="101"/>
      <c r="M29" s="101"/>
      <c r="N29" s="66">
        <f t="shared" si="4"/>
        <v>0</v>
      </c>
      <c r="O29" s="68"/>
      <c r="P29" s="66">
        <f t="shared" si="5"/>
        <v>0</v>
      </c>
      <c r="Q29" s="65"/>
      <c r="R29" s="66">
        <f t="shared" si="6"/>
        <v>0</v>
      </c>
      <c r="S29" s="65"/>
      <c r="T29" s="65"/>
      <c r="U29" s="66">
        <f t="shared" si="7"/>
        <v>0</v>
      </c>
      <c r="V29" s="65"/>
      <c r="W29" s="66">
        <f t="shared" si="8"/>
        <v>0</v>
      </c>
      <c r="X29" s="65"/>
      <c r="Y29" s="9"/>
      <c r="Z29" s="9"/>
      <c r="AA29" s="9"/>
    </row>
    <row r="30" spans="1:27" ht="16.5" thickBot="1">
      <c r="A30" s="102" t="s">
        <v>45</v>
      </c>
      <c r="B30" s="108" t="s">
        <v>46</v>
      </c>
      <c r="C30" s="104" t="s">
        <v>47</v>
      </c>
      <c r="D30" s="41">
        <f t="shared" si="0"/>
        <v>0</v>
      </c>
      <c r="E30" s="57"/>
      <c r="F30" s="62"/>
      <c r="G30" s="63"/>
      <c r="H30" s="41">
        <f t="shared" si="1"/>
        <v>0</v>
      </c>
      <c r="I30" s="101"/>
      <c r="J30" s="101">
        <v>0</v>
      </c>
      <c r="K30" s="41">
        <f t="shared" si="2"/>
        <v>0</v>
      </c>
      <c r="L30" s="101"/>
      <c r="M30" s="101"/>
      <c r="N30" s="66">
        <f t="shared" si="4"/>
        <v>0</v>
      </c>
      <c r="O30" s="68"/>
      <c r="P30" s="66">
        <f t="shared" si="5"/>
        <v>0</v>
      </c>
      <c r="Q30" s="65"/>
      <c r="R30" s="66">
        <f t="shared" si="6"/>
        <v>0</v>
      </c>
      <c r="S30" s="65"/>
      <c r="T30" s="65"/>
      <c r="U30" s="66">
        <f t="shared" si="7"/>
        <v>0</v>
      </c>
      <c r="V30" s="65"/>
      <c r="W30" s="66">
        <f t="shared" si="8"/>
        <v>0</v>
      </c>
      <c r="X30" s="65"/>
      <c r="Y30" s="9"/>
      <c r="Z30" s="9"/>
      <c r="AA30" s="9"/>
    </row>
    <row r="31" spans="1:27" ht="16.5" thickBot="1">
      <c r="A31" s="105"/>
      <c r="B31" s="106"/>
      <c r="C31" s="100" t="s">
        <v>21</v>
      </c>
      <c r="D31" s="41">
        <f t="shared" si="0"/>
        <v>0</v>
      </c>
      <c r="E31" s="57"/>
      <c r="F31" s="62"/>
      <c r="G31" s="63"/>
      <c r="H31" s="41">
        <f t="shared" si="1"/>
        <v>0</v>
      </c>
      <c r="I31" s="101"/>
      <c r="J31" s="101">
        <v>0</v>
      </c>
      <c r="K31" s="41">
        <f t="shared" si="2"/>
        <v>0</v>
      </c>
      <c r="L31" s="101"/>
      <c r="M31" s="101"/>
      <c r="N31" s="66">
        <f t="shared" si="4"/>
        <v>0</v>
      </c>
      <c r="O31" s="68"/>
      <c r="P31" s="66">
        <f t="shared" si="5"/>
        <v>0</v>
      </c>
      <c r="Q31" s="65"/>
      <c r="R31" s="66">
        <f t="shared" si="6"/>
        <v>0</v>
      </c>
      <c r="S31" s="65"/>
      <c r="T31" s="65"/>
      <c r="U31" s="66">
        <f t="shared" si="7"/>
        <v>0</v>
      </c>
      <c r="V31" s="65"/>
      <c r="W31" s="66">
        <f t="shared" si="8"/>
        <v>0</v>
      </c>
      <c r="X31" s="65"/>
      <c r="Y31" s="9"/>
      <c r="Z31" s="9"/>
      <c r="AA31" s="9"/>
    </row>
    <row r="32" spans="1:27" ht="16.5" thickBot="1">
      <c r="A32" s="105" t="s">
        <v>48</v>
      </c>
      <c r="B32" s="109" t="s">
        <v>49</v>
      </c>
      <c r="C32" s="110" t="s">
        <v>21</v>
      </c>
      <c r="D32" s="41">
        <f t="shared" si="0"/>
        <v>52.054999999999986</v>
      </c>
      <c r="E32" s="57"/>
      <c r="F32" s="62"/>
      <c r="G32" s="63"/>
      <c r="H32" s="41">
        <f t="shared" si="1"/>
        <v>52.054999999999986</v>
      </c>
      <c r="I32" s="101"/>
      <c r="J32" s="101">
        <v>52.054999999999986</v>
      </c>
      <c r="K32" s="41">
        <f t="shared" si="2"/>
        <v>0</v>
      </c>
      <c r="L32" s="101"/>
      <c r="M32" s="101"/>
      <c r="N32" s="66">
        <f t="shared" si="4"/>
        <v>0</v>
      </c>
      <c r="O32" s="68"/>
      <c r="P32" s="66">
        <f t="shared" si="5"/>
        <v>0</v>
      </c>
      <c r="Q32" s="65"/>
      <c r="R32" s="66">
        <f t="shared" si="6"/>
        <v>0</v>
      </c>
      <c r="S32" s="65"/>
      <c r="T32" s="65"/>
      <c r="U32" s="66">
        <f t="shared" si="7"/>
        <v>0</v>
      </c>
      <c r="V32" s="65"/>
      <c r="W32" s="66">
        <f t="shared" si="8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2" t="s">
        <v>51</v>
      </c>
      <c r="D33" s="41">
        <f t="shared" si="0"/>
        <v>3.7</v>
      </c>
      <c r="E33" s="57">
        <f t="shared" ref="E33:E39" si="9">F33+G33</f>
        <v>0</v>
      </c>
      <c r="F33" s="62"/>
      <c r="G33" s="63"/>
      <c r="H33" s="41">
        <f t="shared" si="1"/>
        <v>3.7</v>
      </c>
      <c r="I33" s="62"/>
      <c r="J33" s="62">
        <v>3.7</v>
      </c>
      <c r="K33" s="41">
        <f t="shared" si="2"/>
        <v>0</v>
      </c>
      <c r="L33" s="62"/>
      <c r="M33" s="62"/>
      <c r="N33" s="66">
        <v>0</v>
      </c>
      <c r="O33" s="68"/>
      <c r="P33" s="66">
        <f t="shared" si="5"/>
        <v>0</v>
      </c>
      <c r="Q33" s="65"/>
      <c r="R33" s="66">
        <f t="shared" si="6"/>
        <v>0</v>
      </c>
      <c r="S33" s="65"/>
      <c r="T33" s="65"/>
      <c r="U33" s="66">
        <f t="shared" si="7"/>
        <v>0</v>
      </c>
      <c r="V33" s="65"/>
      <c r="W33" s="66">
        <f t="shared" si="8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71" t="s">
        <v>21</v>
      </c>
      <c r="D34" s="41">
        <f t="shared" si="0"/>
        <v>2400</v>
      </c>
      <c r="E34" s="57">
        <f t="shared" si="9"/>
        <v>0</v>
      </c>
      <c r="F34" s="62"/>
      <c r="G34" s="63"/>
      <c r="H34" s="41">
        <f t="shared" si="1"/>
        <v>2400</v>
      </c>
      <c r="I34" s="62"/>
      <c r="J34" s="62">
        <v>2400</v>
      </c>
      <c r="K34" s="41">
        <f t="shared" si="2"/>
        <v>0</v>
      </c>
      <c r="L34" s="62"/>
      <c r="M34" s="62"/>
      <c r="N34" s="66">
        <v>0</v>
      </c>
      <c r="O34" s="68"/>
      <c r="P34" s="66">
        <f t="shared" si="5"/>
        <v>0</v>
      </c>
      <c r="Q34" s="65"/>
      <c r="R34" s="66">
        <f t="shared" si="6"/>
        <v>0</v>
      </c>
      <c r="S34" s="65"/>
      <c r="T34" s="65"/>
      <c r="U34" s="66">
        <f t="shared" si="7"/>
        <v>0</v>
      </c>
      <c r="V34" s="65"/>
      <c r="W34" s="66">
        <f t="shared" si="8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115" t="s">
        <v>24</v>
      </c>
      <c r="D35" s="41">
        <f t="shared" si="0"/>
        <v>6.0336499999999873</v>
      </c>
      <c r="E35" s="57">
        <f t="shared" si="9"/>
        <v>0</v>
      </c>
      <c r="F35" s="62"/>
      <c r="G35" s="63"/>
      <c r="H35" s="41">
        <f t="shared" si="1"/>
        <v>5.8536499999999876</v>
      </c>
      <c r="I35" s="62">
        <v>5.8536499999999876</v>
      </c>
      <c r="J35" s="62">
        <v>0</v>
      </c>
      <c r="K35" s="41">
        <f t="shared" si="2"/>
        <v>0.18000000000000002</v>
      </c>
      <c r="L35" s="62">
        <v>0.18000000000000002</v>
      </c>
      <c r="M35" s="62"/>
      <c r="N35" s="59">
        <f t="shared" ref="N35:N71" si="10">O35</f>
        <v>0</v>
      </c>
      <c r="O35" s="116"/>
      <c r="P35" s="57">
        <f t="shared" si="5"/>
        <v>0</v>
      </c>
      <c r="Q35" s="53"/>
      <c r="R35" s="57">
        <f t="shared" si="6"/>
        <v>0</v>
      </c>
      <c r="S35" s="53"/>
      <c r="T35" s="53"/>
      <c r="U35" s="57">
        <f t="shared" si="7"/>
        <v>0</v>
      </c>
      <c r="V35" s="53"/>
      <c r="W35" s="57">
        <f t="shared" si="8"/>
        <v>0</v>
      </c>
      <c r="X35" s="53"/>
      <c r="Y35" s="9"/>
      <c r="Z35" s="9"/>
      <c r="AA35" s="9"/>
    </row>
    <row r="36" spans="1:27" ht="16.5" thickBot="1">
      <c r="A36" s="117"/>
      <c r="B36" s="118"/>
      <c r="C36" s="119" t="s">
        <v>21</v>
      </c>
      <c r="D36" s="41">
        <f t="shared" si="0"/>
        <v>10556.737500000001</v>
      </c>
      <c r="E36" s="57">
        <f t="shared" si="9"/>
        <v>0</v>
      </c>
      <c r="F36" s="62"/>
      <c r="G36" s="63"/>
      <c r="H36" s="41">
        <f t="shared" si="1"/>
        <v>10243.887500000001</v>
      </c>
      <c r="I36" s="62">
        <v>10243.887500000001</v>
      </c>
      <c r="J36" s="62">
        <v>0</v>
      </c>
      <c r="K36" s="41">
        <f t="shared" si="2"/>
        <v>312.85000000000002</v>
      </c>
      <c r="L36" s="62">
        <v>312.85000000000002</v>
      </c>
      <c r="M36" s="62"/>
      <c r="N36" s="59">
        <f t="shared" si="10"/>
        <v>0</v>
      </c>
      <c r="O36" s="120"/>
      <c r="P36" s="57">
        <f t="shared" si="5"/>
        <v>0</v>
      </c>
      <c r="Q36" s="121"/>
      <c r="R36" s="57">
        <f t="shared" si="6"/>
        <v>0</v>
      </c>
      <c r="S36" s="121"/>
      <c r="T36" s="121"/>
      <c r="U36" s="57">
        <f t="shared" si="7"/>
        <v>0</v>
      </c>
      <c r="V36" s="121"/>
      <c r="W36" s="57">
        <f t="shared" si="8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115" t="s">
        <v>24</v>
      </c>
      <c r="D37" s="41">
        <f t="shared" si="0"/>
        <v>64.735100000000031</v>
      </c>
      <c r="E37" s="57">
        <f t="shared" si="9"/>
        <v>0</v>
      </c>
      <c r="F37" s="62"/>
      <c r="G37" s="63"/>
      <c r="H37" s="41">
        <f t="shared" si="1"/>
        <v>53.735100000000031</v>
      </c>
      <c r="I37" s="62">
        <v>0</v>
      </c>
      <c r="J37" s="62">
        <v>53.735100000000031</v>
      </c>
      <c r="K37" s="41">
        <f t="shared" si="2"/>
        <v>11</v>
      </c>
      <c r="L37" s="62">
        <v>0</v>
      </c>
      <c r="M37" s="62">
        <v>11</v>
      </c>
      <c r="N37" s="59">
        <f t="shared" si="10"/>
        <v>0</v>
      </c>
      <c r="O37" s="122"/>
      <c r="P37" s="57">
        <f t="shared" si="5"/>
        <v>0</v>
      </c>
      <c r="Q37" s="123"/>
      <c r="R37" s="57">
        <f t="shared" si="6"/>
        <v>0</v>
      </c>
      <c r="S37" s="123"/>
      <c r="T37" s="123"/>
      <c r="U37" s="57">
        <f t="shared" si="7"/>
        <v>0</v>
      </c>
      <c r="V37" s="123"/>
      <c r="W37" s="57">
        <f t="shared" si="8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6" t="s">
        <v>56</v>
      </c>
      <c r="D38" s="41">
        <f t="shared" si="0"/>
        <v>190</v>
      </c>
      <c r="E38" s="57">
        <f t="shared" si="9"/>
        <v>0</v>
      </c>
      <c r="F38" s="62"/>
      <c r="G38" s="63"/>
      <c r="H38" s="41">
        <f t="shared" si="1"/>
        <v>154</v>
      </c>
      <c r="I38" s="62">
        <v>0</v>
      </c>
      <c r="J38" s="62">
        <v>154</v>
      </c>
      <c r="K38" s="41">
        <f t="shared" si="2"/>
        <v>36</v>
      </c>
      <c r="L38" s="62">
        <v>0</v>
      </c>
      <c r="M38" s="62">
        <v>36</v>
      </c>
      <c r="N38" s="59">
        <f t="shared" si="10"/>
        <v>0</v>
      </c>
      <c r="O38" s="116"/>
      <c r="P38" s="57">
        <f t="shared" si="5"/>
        <v>0</v>
      </c>
      <c r="Q38" s="125"/>
      <c r="R38" s="57">
        <f t="shared" si="6"/>
        <v>0</v>
      </c>
      <c r="S38" s="125"/>
      <c r="T38" s="125"/>
      <c r="U38" s="57">
        <f t="shared" si="7"/>
        <v>0</v>
      </c>
      <c r="V38" s="125"/>
      <c r="W38" s="57">
        <f t="shared" si="8"/>
        <v>0</v>
      </c>
      <c r="X38" s="125"/>
      <c r="Y38" s="9"/>
      <c r="Z38" s="9"/>
      <c r="AA38" s="9"/>
    </row>
    <row r="39" spans="1:27" ht="16.5" thickBot="1">
      <c r="A39" s="126"/>
      <c r="B39" s="127"/>
      <c r="C39" s="128" t="s">
        <v>21</v>
      </c>
      <c r="D39" s="41">
        <f t="shared" si="0"/>
        <v>28894.864399999999</v>
      </c>
      <c r="E39" s="72">
        <f t="shared" si="9"/>
        <v>0</v>
      </c>
      <c r="F39" s="73"/>
      <c r="G39" s="74"/>
      <c r="H39" s="41">
        <f t="shared" si="1"/>
        <v>23933.364399999999</v>
      </c>
      <c r="I39" s="62">
        <v>0</v>
      </c>
      <c r="J39" s="62">
        <v>23933.364399999999</v>
      </c>
      <c r="K39" s="41">
        <f t="shared" si="2"/>
        <v>4961.5</v>
      </c>
      <c r="L39" s="62">
        <v>0</v>
      </c>
      <c r="M39" s="62">
        <v>4961.5</v>
      </c>
      <c r="N39" s="129">
        <f t="shared" si="10"/>
        <v>0</v>
      </c>
      <c r="O39" s="130"/>
      <c r="P39" s="72">
        <f t="shared" si="5"/>
        <v>0</v>
      </c>
      <c r="Q39" s="72"/>
      <c r="R39" s="72">
        <f t="shared" si="6"/>
        <v>0</v>
      </c>
      <c r="S39" s="72"/>
      <c r="T39" s="72"/>
      <c r="U39" s="72">
        <f t="shared" si="7"/>
        <v>0</v>
      </c>
      <c r="V39" s="72"/>
      <c r="W39" s="72">
        <f t="shared" si="8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115" t="s">
        <v>24</v>
      </c>
      <c r="D40" s="41">
        <f t="shared" si="0"/>
        <v>0.1</v>
      </c>
      <c r="E40" s="123"/>
      <c r="F40" s="133"/>
      <c r="G40" s="134"/>
      <c r="H40" s="41">
        <f t="shared" si="1"/>
        <v>0.1</v>
      </c>
      <c r="I40" s="62">
        <v>0.1</v>
      </c>
      <c r="J40" s="62"/>
      <c r="K40" s="41">
        <f t="shared" si="2"/>
        <v>0</v>
      </c>
      <c r="L40" s="62"/>
      <c r="M40" s="62"/>
      <c r="N40" s="136">
        <f t="shared" si="10"/>
        <v>0</v>
      </c>
      <c r="O40" s="137"/>
      <c r="P40" s="123">
        <f t="shared" si="5"/>
        <v>0</v>
      </c>
      <c r="Q40" s="138"/>
      <c r="R40" s="123">
        <f t="shared" si="6"/>
        <v>0</v>
      </c>
      <c r="S40" s="138"/>
      <c r="T40" s="138"/>
      <c r="U40" s="123">
        <f t="shared" si="7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140" t="s">
        <v>21</v>
      </c>
      <c r="D41" s="41">
        <f t="shared" si="0"/>
        <v>40</v>
      </c>
      <c r="E41" s="121"/>
      <c r="F41" s="141"/>
      <c r="G41" s="142"/>
      <c r="H41" s="41">
        <f t="shared" si="1"/>
        <v>40</v>
      </c>
      <c r="I41" s="62">
        <f>I40*400</f>
        <v>40</v>
      </c>
      <c r="J41" s="62"/>
      <c r="K41" s="41">
        <f t="shared" si="2"/>
        <v>0</v>
      </c>
      <c r="L41" s="62"/>
      <c r="M41" s="62"/>
      <c r="N41" s="143">
        <f t="shared" si="10"/>
        <v>0</v>
      </c>
      <c r="O41" s="116"/>
      <c r="P41" s="121">
        <f t="shared" si="5"/>
        <v>0</v>
      </c>
      <c r="Q41" s="125"/>
      <c r="R41" s="121">
        <f t="shared" si="6"/>
        <v>0</v>
      </c>
      <c r="S41" s="144"/>
      <c r="T41" s="144"/>
      <c r="U41" s="121">
        <f t="shared" si="7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115" t="s">
        <v>24</v>
      </c>
      <c r="D42" s="41">
        <f t="shared" si="0"/>
        <v>0.3</v>
      </c>
      <c r="E42" s="123"/>
      <c r="F42" s="133"/>
      <c r="G42" s="134"/>
      <c r="H42" s="41">
        <f t="shared" si="1"/>
        <v>0.3</v>
      </c>
      <c r="I42" s="62">
        <v>0.3</v>
      </c>
      <c r="J42" s="62"/>
      <c r="K42" s="41">
        <f t="shared" si="2"/>
        <v>0</v>
      </c>
      <c r="L42" s="62"/>
      <c r="M42" s="62"/>
      <c r="N42" s="146">
        <f t="shared" si="10"/>
        <v>0</v>
      </c>
      <c r="O42" s="68"/>
      <c r="P42" s="146">
        <f t="shared" si="5"/>
        <v>0</v>
      </c>
      <c r="Q42" s="65"/>
      <c r="R42" s="136">
        <f t="shared" si="6"/>
        <v>0</v>
      </c>
      <c r="S42" s="138"/>
      <c r="T42" s="138"/>
      <c r="U42" s="123">
        <f t="shared" si="7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140" t="s">
        <v>21</v>
      </c>
      <c r="D43" s="41">
        <f t="shared" si="0"/>
        <v>360</v>
      </c>
      <c r="E43" s="121"/>
      <c r="F43" s="141"/>
      <c r="G43" s="142"/>
      <c r="H43" s="41">
        <f t="shared" si="1"/>
        <v>360</v>
      </c>
      <c r="I43" s="62">
        <v>360</v>
      </c>
      <c r="J43" s="62"/>
      <c r="K43" s="41">
        <f t="shared" si="2"/>
        <v>0</v>
      </c>
      <c r="L43" s="62"/>
      <c r="M43" s="62"/>
      <c r="N43" s="148">
        <f t="shared" si="10"/>
        <v>0</v>
      </c>
      <c r="O43" s="68"/>
      <c r="P43" s="148">
        <f t="shared" si="5"/>
        <v>0</v>
      </c>
      <c r="Q43" s="65"/>
      <c r="R43" s="143">
        <f t="shared" si="6"/>
        <v>0</v>
      </c>
      <c r="S43" s="144"/>
      <c r="T43" s="144"/>
      <c r="U43" s="121">
        <f t="shared" si="7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115" t="s">
        <v>47</v>
      </c>
      <c r="D44" s="41">
        <f t="shared" si="0"/>
        <v>90</v>
      </c>
      <c r="E44" s="57">
        <f t="shared" ref="E44:E59" si="11">F44+G44</f>
        <v>0</v>
      </c>
      <c r="F44" s="62"/>
      <c r="G44" s="63"/>
      <c r="H44" s="41">
        <f t="shared" si="1"/>
        <v>90</v>
      </c>
      <c r="I44" s="62">
        <v>90</v>
      </c>
      <c r="J44" s="62"/>
      <c r="K44" s="41">
        <f t="shared" si="2"/>
        <v>0</v>
      </c>
      <c r="L44" s="62"/>
      <c r="M44" s="62"/>
      <c r="N44" s="59">
        <f t="shared" si="10"/>
        <v>0</v>
      </c>
      <c r="O44" s="116"/>
      <c r="P44" s="57">
        <f t="shared" si="5"/>
        <v>0</v>
      </c>
      <c r="Q44" s="53"/>
      <c r="R44" s="57">
        <f t="shared" si="6"/>
        <v>0</v>
      </c>
      <c r="S44" s="123"/>
      <c r="T44" s="123"/>
      <c r="U44" s="57">
        <f t="shared" si="7"/>
        <v>0</v>
      </c>
      <c r="V44" s="123"/>
      <c r="W44" s="57">
        <f t="shared" ref="W44:W71" si="12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119" t="s">
        <v>21</v>
      </c>
      <c r="D45" s="41">
        <f t="shared" si="0"/>
        <v>60</v>
      </c>
      <c r="E45" s="57">
        <f t="shared" si="11"/>
        <v>0</v>
      </c>
      <c r="F45" s="62"/>
      <c r="G45" s="63"/>
      <c r="H45" s="41">
        <f t="shared" si="1"/>
        <v>60</v>
      </c>
      <c r="I45" s="62">
        <v>60</v>
      </c>
      <c r="J45" s="62"/>
      <c r="K45" s="41">
        <f t="shared" si="2"/>
        <v>0</v>
      </c>
      <c r="L45" s="62"/>
      <c r="M45" s="62"/>
      <c r="N45" s="59">
        <f t="shared" si="10"/>
        <v>0</v>
      </c>
      <c r="O45" s="120"/>
      <c r="P45" s="57">
        <f t="shared" si="5"/>
        <v>0</v>
      </c>
      <c r="Q45" s="121"/>
      <c r="R45" s="57">
        <f t="shared" si="6"/>
        <v>0</v>
      </c>
      <c r="S45" s="121"/>
      <c r="T45" s="121"/>
      <c r="U45" s="57">
        <f t="shared" si="7"/>
        <v>0</v>
      </c>
      <c r="V45" s="121"/>
      <c r="W45" s="57">
        <f t="shared" si="12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2" t="s">
        <v>47</v>
      </c>
      <c r="D46" s="41">
        <f t="shared" si="0"/>
        <v>0</v>
      </c>
      <c r="E46" s="57">
        <f t="shared" si="11"/>
        <v>0</v>
      </c>
      <c r="F46" s="62"/>
      <c r="G46" s="63"/>
      <c r="H46" s="41">
        <f t="shared" si="1"/>
        <v>0</v>
      </c>
      <c r="I46" s="62">
        <v>0</v>
      </c>
      <c r="J46" s="62"/>
      <c r="K46" s="41">
        <f t="shared" si="2"/>
        <v>0</v>
      </c>
      <c r="L46" s="62"/>
      <c r="M46" s="62"/>
      <c r="N46" s="59">
        <f t="shared" si="10"/>
        <v>0</v>
      </c>
      <c r="O46" s="116"/>
      <c r="P46" s="57">
        <f t="shared" si="5"/>
        <v>0</v>
      </c>
      <c r="Q46" s="123"/>
      <c r="R46" s="57">
        <f t="shared" si="6"/>
        <v>0</v>
      </c>
      <c r="S46" s="123"/>
      <c r="T46" s="123"/>
      <c r="U46" s="57">
        <f t="shared" si="7"/>
        <v>0</v>
      </c>
      <c r="V46" s="123"/>
      <c r="W46" s="57">
        <f t="shared" si="12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71" t="s">
        <v>21</v>
      </c>
      <c r="D47" s="41">
        <f t="shared" si="0"/>
        <v>0</v>
      </c>
      <c r="E47" s="57">
        <f t="shared" si="11"/>
        <v>0</v>
      </c>
      <c r="F47" s="62"/>
      <c r="G47" s="63"/>
      <c r="H47" s="41">
        <f t="shared" si="1"/>
        <v>0</v>
      </c>
      <c r="I47" s="62">
        <v>0</v>
      </c>
      <c r="J47" s="62"/>
      <c r="K47" s="41">
        <f t="shared" si="2"/>
        <v>0</v>
      </c>
      <c r="L47" s="62"/>
      <c r="M47" s="62"/>
      <c r="N47" s="59">
        <f t="shared" si="10"/>
        <v>0</v>
      </c>
      <c r="O47" s="130"/>
      <c r="P47" s="57">
        <f t="shared" si="5"/>
        <v>0</v>
      </c>
      <c r="Q47" s="121"/>
      <c r="R47" s="57">
        <f t="shared" si="6"/>
        <v>0</v>
      </c>
      <c r="S47" s="121"/>
      <c r="T47" s="121"/>
      <c r="U47" s="57">
        <f t="shared" si="7"/>
        <v>0</v>
      </c>
      <c r="V47" s="121"/>
      <c r="W47" s="57">
        <f t="shared" si="12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115" t="s">
        <v>51</v>
      </c>
      <c r="D48" s="41">
        <f t="shared" si="0"/>
        <v>1.6666666666666667</v>
      </c>
      <c r="E48" s="57">
        <f t="shared" si="11"/>
        <v>0</v>
      </c>
      <c r="F48" s="62"/>
      <c r="G48" s="63"/>
      <c r="H48" s="41">
        <f t="shared" si="1"/>
        <v>1.6666666666666667</v>
      </c>
      <c r="I48" s="62">
        <f>I49/1800</f>
        <v>1.6666666666666667</v>
      </c>
      <c r="J48" s="62"/>
      <c r="K48" s="41">
        <f t="shared" si="2"/>
        <v>0</v>
      </c>
      <c r="L48" s="62"/>
      <c r="M48" s="62"/>
      <c r="N48" s="59">
        <f t="shared" si="10"/>
        <v>0</v>
      </c>
      <c r="O48" s="137"/>
      <c r="P48" s="57">
        <f t="shared" si="5"/>
        <v>0</v>
      </c>
      <c r="Q48" s="123"/>
      <c r="R48" s="57">
        <f t="shared" si="6"/>
        <v>0</v>
      </c>
      <c r="S48" s="123"/>
      <c r="T48" s="123"/>
      <c r="U48" s="57">
        <f t="shared" si="7"/>
        <v>0</v>
      </c>
      <c r="V48" s="123"/>
      <c r="W48" s="57">
        <f t="shared" si="12"/>
        <v>0</v>
      </c>
      <c r="X48" s="123"/>
      <c r="Y48" s="9"/>
      <c r="Z48" s="9"/>
      <c r="AA48" s="9"/>
    </row>
    <row r="49" spans="1:27" ht="16.5" thickBot="1">
      <c r="A49" s="150"/>
      <c r="B49" s="70"/>
      <c r="C49" s="71" t="s">
        <v>21</v>
      </c>
      <c r="D49" s="41">
        <f t="shared" si="0"/>
        <v>3000</v>
      </c>
      <c r="E49" s="57">
        <f t="shared" si="11"/>
        <v>0</v>
      </c>
      <c r="F49" s="62"/>
      <c r="G49" s="63"/>
      <c r="H49" s="41">
        <f t="shared" si="1"/>
        <v>3000</v>
      </c>
      <c r="I49" s="62">
        <v>3000</v>
      </c>
      <c r="J49" s="62"/>
      <c r="K49" s="41">
        <f t="shared" si="2"/>
        <v>0</v>
      </c>
      <c r="L49" s="62"/>
      <c r="M49" s="62"/>
      <c r="N49" s="59">
        <f t="shared" si="10"/>
        <v>0</v>
      </c>
      <c r="O49" s="130"/>
      <c r="P49" s="57">
        <f t="shared" si="5"/>
        <v>0</v>
      </c>
      <c r="Q49" s="121"/>
      <c r="R49" s="57">
        <f t="shared" si="6"/>
        <v>0</v>
      </c>
      <c r="S49" s="121"/>
      <c r="T49" s="121"/>
      <c r="U49" s="57">
        <f t="shared" si="7"/>
        <v>0</v>
      </c>
      <c r="V49" s="121"/>
      <c r="W49" s="57">
        <f t="shared" si="12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115" t="s">
        <v>47</v>
      </c>
      <c r="D50" s="41">
        <f t="shared" si="0"/>
        <v>130</v>
      </c>
      <c r="E50" s="57">
        <f t="shared" si="11"/>
        <v>0</v>
      </c>
      <c r="F50" s="62"/>
      <c r="G50" s="63"/>
      <c r="H50" s="41">
        <f t="shared" si="1"/>
        <v>130</v>
      </c>
      <c r="I50" s="62">
        <v>130</v>
      </c>
      <c r="J50" s="62"/>
      <c r="K50" s="41">
        <f t="shared" si="2"/>
        <v>0</v>
      </c>
      <c r="L50" s="62"/>
      <c r="M50" s="62"/>
      <c r="N50" s="59">
        <f t="shared" si="10"/>
        <v>0</v>
      </c>
      <c r="O50" s="137"/>
      <c r="P50" s="57">
        <f t="shared" si="5"/>
        <v>0</v>
      </c>
      <c r="Q50" s="123"/>
      <c r="R50" s="57">
        <f t="shared" si="6"/>
        <v>0</v>
      </c>
      <c r="S50" s="123"/>
      <c r="T50" s="123"/>
      <c r="U50" s="57">
        <f t="shared" si="7"/>
        <v>0</v>
      </c>
      <c r="V50" s="123"/>
      <c r="W50" s="57">
        <f t="shared" si="12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119" t="s">
        <v>21</v>
      </c>
      <c r="D51" s="41">
        <f t="shared" si="0"/>
        <v>900</v>
      </c>
      <c r="E51" s="57">
        <f t="shared" si="11"/>
        <v>0</v>
      </c>
      <c r="F51" s="62"/>
      <c r="G51" s="63"/>
      <c r="H51" s="41">
        <f t="shared" si="1"/>
        <v>900</v>
      </c>
      <c r="I51" s="62">
        <v>900</v>
      </c>
      <c r="J51" s="62"/>
      <c r="K51" s="41">
        <f t="shared" si="2"/>
        <v>0</v>
      </c>
      <c r="L51" s="62"/>
      <c r="M51" s="62"/>
      <c r="N51" s="59">
        <f t="shared" si="10"/>
        <v>0</v>
      </c>
      <c r="O51" s="120"/>
      <c r="P51" s="57">
        <f t="shared" si="5"/>
        <v>0</v>
      </c>
      <c r="Q51" s="121"/>
      <c r="R51" s="57">
        <f t="shared" si="6"/>
        <v>0</v>
      </c>
      <c r="S51" s="121"/>
      <c r="T51" s="121"/>
      <c r="U51" s="57">
        <f t="shared" si="7"/>
        <v>0</v>
      </c>
      <c r="V51" s="121"/>
      <c r="W51" s="57">
        <f t="shared" si="12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115" t="s">
        <v>47</v>
      </c>
      <c r="D52" s="41">
        <f t="shared" si="0"/>
        <v>70</v>
      </c>
      <c r="E52" s="57">
        <f t="shared" si="11"/>
        <v>0</v>
      </c>
      <c r="F52" s="62"/>
      <c r="G52" s="63"/>
      <c r="H52" s="41">
        <f t="shared" si="1"/>
        <v>70</v>
      </c>
      <c r="I52" s="62">
        <v>70</v>
      </c>
      <c r="J52" s="62"/>
      <c r="K52" s="41">
        <f t="shared" si="2"/>
        <v>0</v>
      </c>
      <c r="L52" s="62"/>
      <c r="M52" s="62"/>
      <c r="N52" s="59">
        <f t="shared" si="10"/>
        <v>0</v>
      </c>
      <c r="O52" s="137"/>
      <c r="P52" s="57">
        <f t="shared" si="5"/>
        <v>0</v>
      </c>
      <c r="Q52" s="123"/>
      <c r="R52" s="57">
        <f t="shared" si="6"/>
        <v>0</v>
      </c>
      <c r="S52" s="123"/>
      <c r="T52" s="123"/>
      <c r="U52" s="57">
        <f t="shared" si="7"/>
        <v>0</v>
      </c>
      <c r="V52" s="123"/>
      <c r="W52" s="57">
        <f t="shared" si="12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119" t="s">
        <v>21</v>
      </c>
      <c r="D53" s="41">
        <f t="shared" si="0"/>
        <v>1000</v>
      </c>
      <c r="E53" s="57">
        <f t="shared" si="11"/>
        <v>0</v>
      </c>
      <c r="F53" s="62"/>
      <c r="G53" s="63"/>
      <c r="H53" s="41">
        <f t="shared" si="1"/>
        <v>1000</v>
      </c>
      <c r="I53" s="62">
        <v>1000</v>
      </c>
      <c r="J53" s="62"/>
      <c r="K53" s="41">
        <f t="shared" si="2"/>
        <v>0</v>
      </c>
      <c r="L53" s="62"/>
      <c r="M53" s="62"/>
      <c r="N53" s="59">
        <f t="shared" si="10"/>
        <v>0</v>
      </c>
      <c r="O53" s="120"/>
      <c r="P53" s="57">
        <f t="shared" si="5"/>
        <v>0</v>
      </c>
      <c r="Q53" s="121"/>
      <c r="R53" s="57">
        <f t="shared" si="6"/>
        <v>0</v>
      </c>
      <c r="S53" s="121"/>
      <c r="T53" s="121"/>
      <c r="U53" s="57">
        <f t="shared" si="7"/>
        <v>0</v>
      </c>
      <c r="V53" s="121"/>
      <c r="W53" s="57">
        <f t="shared" si="12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115" t="s">
        <v>47</v>
      </c>
      <c r="D54" s="41">
        <f t="shared" si="0"/>
        <v>300</v>
      </c>
      <c r="E54" s="57">
        <f t="shared" si="11"/>
        <v>0</v>
      </c>
      <c r="F54" s="62"/>
      <c r="G54" s="63"/>
      <c r="H54" s="41">
        <f t="shared" si="1"/>
        <v>300</v>
      </c>
      <c r="I54" s="62">
        <v>300</v>
      </c>
      <c r="J54" s="62"/>
      <c r="K54" s="41">
        <f t="shared" si="2"/>
        <v>0</v>
      </c>
      <c r="L54" s="62"/>
      <c r="M54" s="62"/>
      <c r="N54" s="59">
        <f t="shared" si="10"/>
        <v>0</v>
      </c>
      <c r="O54" s="137"/>
      <c r="P54" s="57">
        <f t="shared" si="5"/>
        <v>0</v>
      </c>
      <c r="Q54" s="123"/>
      <c r="R54" s="57">
        <f t="shared" si="6"/>
        <v>0</v>
      </c>
      <c r="S54" s="123"/>
      <c r="T54" s="123"/>
      <c r="U54" s="57">
        <f t="shared" si="7"/>
        <v>0</v>
      </c>
      <c r="V54" s="123"/>
      <c r="W54" s="57">
        <f t="shared" si="12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119" t="s">
        <v>21</v>
      </c>
      <c r="D55" s="41">
        <f t="shared" si="0"/>
        <v>4000</v>
      </c>
      <c r="E55" s="57">
        <f t="shared" si="11"/>
        <v>0</v>
      </c>
      <c r="F55" s="62"/>
      <c r="G55" s="63"/>
      <c r="H55" s="41">
        <f t="shared" si="1"/>
        <v>4000</v>
      </c>
      <c r="I55" s="62">
        <v>4000</v>
      </c>
      <c r="J55" s="62"/>
      <c r="K55" s="41">
        <f t="shared" si="2"/>
        <v>0</v>
      </c>
      <c r="L55" s="62"/>
      <c r="M55" s="62"/>
      <c r="N55" s="59">
        <f t="shared" si="10"/>
        <v>0</v>
      </c>
      <c r="O55" s="120"/>
      <c r="P55" s="57">
        <f t="shared" si="5"/>
        <v>0</v>
      </c>
      <c r="Q55" s="121"/>
      <c r="R55" s="57">
        <f t="shared" si="6"/>
        <v>0</v>
      </c>
      <c r="S55" s="121"/>
      <c r="T55" s="121"/>
      <c r="U55" s="57">
        <f t="shared" si="7"/>
        <v>0</v>
      </c>
      <c r="V55" s="121"/>
      <c r="W55" s="57">
        <f t="shared" si="12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115" t="s">
        <v>24</v>
      </c>
      <c r="D56" s="41">
        <f t="shared" si="0"/>
        <v>0.53870000000000018</v>
      </c>
      <c r="E56" s="57">
        <f t="shared" si="11"/>
        <v>0</v>
      </c>
      <c r="F56" s="62"/>
      <c r="G56" s="63"/>
      <c r="H56" s="41">
        <f t="shared" si="1"/>
        <v>0.51170000000000015</v>
      </c>
      <c r="I56" s="62">
        <v>0.51170000000000015</v>
      </c>
      <c r="J56" s="62">
        <v>0</v>
      </c>
      <c r="K56" s="41">
        <f t="shared" si="2"/>
        <v>2.6999999999999996E-2</v>
      </c>
      <c r="L56" s="62">
        <v>2.6999999999999996E-2</v>
      </c>
      <c r="M56" s="62"/>
      <c r="N56" s="59">
        <f t="shared" si="10"/>
        <v>0</v>
      </c>
      <c r="O56" s="122"/>
      <c r="P56" s="57">
        <f t="shared" si="5"/>
        <v>0</v>
      </c>
      <c r="Q56" s="123"/>
      <c r="R56" s="57">
        <f t="shared" si="6"/>
        <v>0</v>
      </c>
      <c r="S56" s="123"/>
      <c r="T56" s="123"/>
      <c r="U56" s="57">
        <f t="shared" si="7"/>
        <v>0</v>
      </c>
      <c r="V56" s="123"/>
      <c r="W56" s="57">
        <f t="shared" si="12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71" t="s">
        <v>21</v>
      </c>
      <c r="D57" s="41">
        <f t="shared" si="0"/>
        <v>341.76400000000001</v>
      </c>
      <c r="E57" s="57">
        <f t="shared" si="11"/>
        <v>0</v>
      </c>
      <c r="F57" s="62"/>
      <c r="G57" s="63"/>
      <c r="H57" s="41">
        <f t="shared" si="1"/>
        <v>325.56400000000002</v>
      </c>
      <c r="I57" s="62">
        <v>325.56400000000002</v>
      </c>
      <c r="J57" s="62">
        <v>0</v>
      </c>
      <c r="K57" s="41">
        <f t="shared" si="2"/>
        <v>16.2</v>
      </c>
      <c r="L57" s="62">
        <v>16.2</v>
      </c>
      <c r="M57" s="62"/>
      <c r="N57" s="59">
        <f t="shared" si="10"/>
        <v>0</v>
      </c>
      <c r="O57" s="130"/>
      <c r="P57" s="57">
        <f t="shared" si="5"/>
        <v>0</v>
      </c>
      <c r="Q57" s="72"/>
      <c r="R57" s="57">
        <f t="shared" si="6"/>
        <v>0</v>
      </c>
      <c r="S57" s="72"/>
      <c r="T57" s="72"/>
      <c r="U57" s="57">
        <f t="shared" si="7"/>
        <v>0</v>
      </c>
      <c r="V57" s="72"/>
      <c r="W57" s="57">
        <f t="shared" si="12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115" t="s">
        <v>47</v>
      </c>
      <c r="D58" s="41">
        <f t="shared" si="0"/>
        <v>6</v>
      </c>
      <c r="E58" s="57">
        <f t="shared" si="11"/>
        <v>0</v>
      </c>
      <c r="F58" s="62"/>
      <c r="G58" s="63"/>
      <c r="H58" s="41">
        <f t="shared" si="1"/>
        <v>6</v>
      </c>
      <c r="I58" s="62">
        <v>6</v>
      </c>
      <c r="J58" s="62"/>
      <c r="K58" s="41">
        <f t="shared" si="2"/>
        <v>0</v>
      </c>
      <c r="L58" s="62"/>
      <c r="M58" s="62"/>
      <c r="N58" s="59">
        <f t="shared" si="10"/>
        <v>0</v>
      </c>
      <c r="O58" s="122"/>
      <c r="P58" s="57">
        <f t="shared" si="5"/>
        <v>0</v>
      </c>
      <c r="Q58" s="123"/>
      <c r="R58" s="57">
        <f t="shared" si="6"/>
        <v>0</v>
      </c>
      <c r="S58" s="123"/>
      <c r="T58" s="123"/>
      <c r="U58" s="57">
        <f t="shared" si="7"/>
        <v>0</v>
      </c>
      <c r="V58" s="123"/>
      <c r="W58" s="57">
        <f t="shared" si="12"/>
        <v>0</v>
      </c>
      <c r="X58" s="123"/>
    </row>
    <row r="59" spans="1:27" ht="16.5" thickBot="1">
      <c r="A59" s="154"/>
      <c r="B59" s="155" t="s">
        <v>73</v>
      </c>
      <c r="C59" s="71" t="s">
        <v>21</v>
      </c>
      <c r="D59" s="41">
        <f t="shared" si="0"/>
        <v>24</v>
      </c>
      <c r="E59" s="72">
        <f t="shared" si="11"/>
        <v>0</v>
      </c>
      <c r="F59" s="73"/>
      <c r="G59" s="74"/>
      <c r="H59" s="41">
        <f t="shared" si="1"/>
        <v>24</v>
      </c>
      <c r="I59" s="62">
        <v>24</v>
      </c>
      <c r="J59" s="62"/>
      <c r="K59" s="41">
        <f t="shared" si="2"/>
        <v>0</v>
      </c>
      <c r="L59" s="62"/>
      <c r="M59" s="62"/>
      <c r="N59" s="129">
        <f t="shared" si="10"/>
        <v>0</v>
      </c>
      <c r="O59" s="130"/>
      <c r="P59" s="72">
        <f t="shared" si="5"/>
        <v>0</v>
      </c>
      <c r="Q59" s="72"/>
      <c r="R59" s="72">
        <f t="shared" si="6"/>
        <v>0</v>
      </c>
      <c r="S59" s="72"/>
      <c r="T59" s="72"/>
      <c r="U59" s="72">
        <f t="shared" si="7"/>
        <v>0</v>
      </c>
      <c r="V59" s="72"/>
      <c r="W59" s="72">
        <f t="shared" si="12"/>
        <v>0</v>
      </c>
      <c r="X59" s="72"/>
    </row>
    <row r="60" spans="1:27" ht="16.5" thickBot="1">
      <c r="A60" s="156">
        <v>16</v>
      </c>
      <c r="B60" s="157" t="s">
        <v>74</v>
      </c>
      <c r="C60" s="115" t="s">
        <v>47</v>
      </c>
      <c r="D60" s="41">
        <f t="shared" si="0"/>
        <v>0</v>
      </c>
      <c r="E60" s="158"/>
      <c r="F60" s="159"/>
      <c r="G60" s="160"/>
      <c r="H60" s="41">
        <f t="shared" si="1"/>
        <v>0</v>
      </c>
      <c r="I60" s="62"/>
      <c r="J60" s="62"/>
      <c r="K60" s="41">
        <f t="shared" si="2"/>
        <v>0</v>
      </c>
      <c r="L60" s="62"/>
      <c r="M60" s="62"/>
      <c r="N60" s="161">
        <f t="shared" si="10"/>
        <v>0</v>
      </c>
      <c r="O60" s="162"/>
      <c r="P60" s="138">
        <f t="shared" si="5"/>
        <v>0</v>
      </c>
      <c r="Q60" s="158"/>
      <c r="R60" s="138">
        <f t="shared" si="6"/>
        <v>0</v>
      </c>
      <c r="S60" s="158"/>
      <c r="T60" s="158"/>
      <c r="U60" s="138">
        <f t="shared" si="7"/>
        <v>0</v>
      </c>
      <c r="V60" s="158"/>
      <c r="W60" s="138">
        <f t="shared" si="12"/>
        <v>0</v>
      </c>
      <c r="X60" s="163"/>
    </row>
    <row r="61" spans="1:27" ht="16.5" thickBot="1">
      <c r="A61" s="164"/>
      <c r="B61" s="165"/>
      <c r="C61" s="119" t="s">
        <v>21</v>
      </c>
      <c r="D61" s="41">
        <f t="shared" si="0"/>
        <v>0</v>
      </c>
      <c r="E61" s="166"/>
      <c r="F61" s="167"/>
      <c r="G61" s="168"/>
      <c r="H61" s="41">
        <f t="shared" si="1"/>
        <v>0</v>
      </c>
      <c r="I61" s="62"/>
      <c r="J61" s="62"/>
      <c r="K61" s="41">
        <f t="shared" si="2"/>
        <v>0</v>
      </c>
      <c r="L61" s="62"/>
      <c r="M61" s="62"/>
      <c r="N61" s="143">
        <f t="shared" si="10"/>
        <v>0</v>
      </c>
      <c r="O61" s="169"/>
      <c r="P61" s="121">
        <f t="shared" si="5"/>
        <v>0</v>
      </c>
      <c r="Q61" s="166"/>
      <c r="R61" s="121">
        <f t="shared" si="6"/>
        <v>0</v>
      </c>
      <c r="S61" s="166"/>
      <c r="T61" s="166"/>
      <c r="U61" s="121">
        <f t="shared" si="7"/>
        <v>0</v>
      </c>
      <c r="V61" s="166"/>
      <c r="W61" s="121">
        <f t="shared" si="12"/>
        <v>0</v>
      </c>
      <c r="X61" s="170"/>
    </row>
    <row r="62" spans="1:27" ht="40.5" customHeight="1" thickBot="1">
      <c r="A62" s="156">
        <v>17</v>
      </c>
      <c r="B62" s="171" t="s">
        <v>75</v>
      </c>
      <c r="C62" s="115" t="s">
        <v>24</v>
      </c>
      <c r="D62" s="41">
        <f t="shared" si="0"/>
        <v>0</v>
      </c>
      <c r="E62" s="158">
        <v>0</v>
      </c>
      <c r="F62" s="159"/>
      <c r="G62" s="160"/>
      <c r="H62" s="41">
        <f t="shared" si="1"/>
        <v>0</v>
      </c>
      <c r="I62" s="62"/>
      <c r="J62" s="62"/>
      <c r="K62" s="41">
        <f t="shared" si="2"/>
        <v>0</v>
      </c>
      <c r="L62" s="62"/>
      <c r="M62" s="62"/>
      <c r="N62" s="161">
        <f t="shared" si="10"/>
        <v>0</v>
      </c>
      <c r="O62" s="162"/>
      <c r="P62" s="138">
        <f t="shared" si="5"/>
        <v>0</v>
      </c>
      <c r="Q62" s="158"/>
      <c r="R62" s="138">
        <f t="shared" si="6"/>
        <v>0</v>
      </c>
      <c r="S62" s="158"/>
      <c r="T62" s="158"/>
      <c r="U62" s="138">
        <f t="shared" si="7"/>
        <v>0</v>
      </c>
      <c r="V62" s="158"/>
      <c r="W62" s="138">
        <f t="shared" si="12"/>
        <v>0</v>
      </c>
      <c r="X62" s="163"/>
    </row>
    <row r="63" spans="1:27" ht="16.5" thickBot="1">
      <c r="A63" s="164"/>
      <c r="B63" s="172"/>
      <c r="C63" s="119" t="s">
        <v>21</v>
      </c>
      <c r="D63" s="41">
        <f t="shared" si="0"/>
        <v>0</v>
      </c>
      <c r="E63" s="166">
        <v>0</v>
      </c>
      <c r="F63" s="167"/>
      <c r="G63" s="168"/>
      <c r="H63" s="41">
        <f t="shared" si="1"/>
        <v>0</v>
      </c>
      <c r="I63" s="62"/>
      <c r="J63" s="62"/>
      <c r="K63" s="41">
        <f t="shared" si="2"/>
        <v>0</v>
      </c>
      <c r="L63" s="62"/>
      <c r="M63" s="62"/>
      <c r="N63" s="143">
        <f t="shared" si="10"/>
        <v>0</v>
      </c>
      <c r="O63" s="169"/>
      <c r="P63" s="121">
        <f t="shared" si="5"/>
        <v>0</v>
      </c>
      <c r="Q63" s="166"/>
      <c r="R63" s="121">
        <f t="shared" si="6"/>
        <v>0</v>
      </c>
      <c r="S63" s="166"/>
      <c r="T63" s="166"/>
      <c r="U63" s="121">
        <f t="shared" si="7"/>
        <v>0</v>
      </c>
      <c r="V63" s="166"/>
      <c r="W63" s="121">
        <f t="shared" si="12"/>
        <v>0</v>
      </c>
      <c r="X63" s="170"/>
    </row>
    <row r="64" spans="1:27" ht="16.5" thickBot="1">
      <c r="A64" s="156">
        <v>18</v>
      </c>
      <c r="B64" s="157" t="s">
        <v>76</v>
      </c>
      <c r="C64" s="115" t="s">
        <v>47</v>
      </c>
      <c r="D64" s="41">
        <f t="shared" si="0"/>
        <v>0</v>
      </c>
      <c r="E64" s="158"/>
      <c r="F64" s="159"/>
      <c r="G64" s="160"/>
      <c r="H64" s="41">
        <f t="shared" si="1"/>
        <v>0</v>
      </c>
      <c r="I64" s="62"/>
      <c r="J64" s="62"/>
      <c r="K64" s="41">
        <f t="shared" si="2"/>
        <v>0</v>
      </c>
      <c r="L64" s="62"/>
      <c r="M64" s="62"/>
      <c r="N64" s="161">
        <f t="shared" si="10"/>
        <v>0</v>
      </c>
      <c r="O64" s="162"/>
      <c r="P64" s="138">
        <f t="shared" si="5"/>
        <v>0</v>
      </c>
      <c r="Q64" s="158"/>
      <c r="R64" s="138">
        <f t="shared" si="6"/>
        <v>0</v>
      </c>
      <c r="S64" s="158"/>
      <c r="T64" s="158"/>
      <c r="U64" s="138">
        <f t="shared" si="7"/>
        <v>0</v>
      </c>
      <c r="V64" s="158"/>
      <c r="W64" s="138">
        <f t="shared" si="12"/>
        <v>0</v>
      </c>
      <c r="X64" s="163"/>
    </row>
    <row r="65" spans="1:27" ht="16.5" thickBot="1">
      <c r="A65" s="164"/>
      <c r="B65" s="165"/>
      <c r="C65" s="119" t="s">
        <v>21</v>
      </c>
      <c r="D65" s="41">
        <f t="shared" si="0"/>
        <v>0</v>
      </c>
      <c r="E65" s="166"/>
      <c r="F65" s="167"/>
      <c r="G65" s="168"/>
      <c r="H65" s="41">
        <f t="shared" si="1"/>
        <v>0</v>
      </c>
      <c r="I65" s="62"/>
      <c r="J65" s="62"/>
      <c r="K65" s="41">
        <f t="shared" si="2"/>
        <v>0</v>
      </c>
      <c r="L65" s="62"/>
      <c r="M65" s="62"/>
      <c r="N65" s="143">
        <f t="shared" si="10"/>
        <v>0</v>
      </c>
      <c r="O65" s="169"/>
      <c r="P65" s="121">
        <f t="shared" si="5"/>
        <v>0</v>
      </c>
      <c r="Q65" s="166"/>
      <c r="R65" s="121">
        <f t="shared" si="6"/>
        <v>0</v>
      </c>
      <c r="S65" s="166"/>
      <c r="T65" s="166"/>
      <c r="U65" s="121">
        <f t="shared" si="7"/>
        <v>0</v>
      </c>
      <c r="V65" s="166"/>
      <c r="W65" s="121">
        <f t="shared" si="12"/>
        <v>0</v>
      </c>
      <c r="X65" s="170"/>
    </row>
    <row r="66" spans="1:27" ht="16.5" thickBot="1">
      <c r="A66" s="156">
        <v>19</v>
      </c>
      <c r="B66" s="157" t="s">
        <v>77</v>
      </c>
      <c r="C66" s="115" t="s">
        <v>47</v>
      </c>
      <c r="D66" s="41">
        <f t="shared" si="0"/>
        <v>10</v>
      </c>
      <c r="E66" s="158"/>
      <c r="F66" s="159"/>
      <c r="G66" s="160"/>
      <c r="H66" s="41">
        <f t="shared" si="1"/>
        <v>10</v>
      </c>
      <c r="I66" s="62">
        <v>10</v>
      </c>
      <c r="J66" s="62"/>
      <c r="K66" s="41">
        <f t="shared" si="2"/>
        <v>0</v>
      </c>
      <c r="L66" s="62"/>
      <c r="M66" s="62"/>
      <c r="N66" s="161">
        <f t="shared" si="10"/>
        <v>0</v>
      </c>
      <c r="O66" s="162"/>
      <c r="P66" s="138">
        <f t="shared" si="5"/>
        <v>0</v>
      </c>
      <c r="Q66" s="158"/>
      <c r="R66" s="138">
        <f t="shared" si="6"/>
        <v>0</v>
      </c>
      <c r="S66" s="158"/>
      <c r="T66" s="158"/>
      <c r="U66" s="138">
        <f t="shared" si="7"/>
        <v>0</v>
      </c>
      <c r="V66" s="158"/>
      <c r="W66" s="138">
        <f t="shared" si="12"/>
        <v>0</v>
      </c>
      <c r="X66" s="163"/>
    </row>
    <row r="67" spans="1:27" ht="16.5" thickBot="1">
      <c r="A67" s="164"/>
      <c r="B67" s="165"/>
      <c r="C67" s="119" t="s">
        <v>21</v>
      </c>
      <c r="D67" s="41">
        <f t="shared" si="0"/>
        <v>1.5</v>
      </c>
      <c r="E67" s="166"/>
      <c r="F67" s="167"/>
      <c r="G67" s="168"/>
      <c r="H67" s="41">
        <f t="shared" si="1"/>
        <v>1.5</v>
      </c>
      <c r="I67" s="62">
        <f>150*10/1000</f>
        <v>1.5</v>
      </c>
      <c r="J67" s="62"/>
      <c r="K67" s="41">
        <f t="shared" si="2"/>
        <v>0</v>
      </c>
      <c r="L67" s="62"/>
      <c r="M67" s="62"/>
      <c r="N67" s="143">
        <f t="shared" si="10"/>
        <v>0</v>
      </c>
      <c r="O67" s="169"/>
      <c r="P67" s="121">
        <f t="shared" si="5"/>
        <v>0</v>
      </c>
      <c r="Q67" s="166"/>
      <c r="R67" s="121">
        <f t="shared" si="6"/>
        <v>0</v>
      </c>
      <c r="S67" s="166"/>
      <c r="T67" s="166"/>
      <c r="U67" s="121">
        <f t="shared" si="7"/>
        <v>0</v>
      </c>
      <c r="V67" s="166"/>
      <c r="W67" s="121">
        <f t="shared" si="12"/>
        <v>0</v>
      </c>
      <c r="X67" s="170"/>
    </row>
    <row r="68" spans="1:27" ht="32.25" thickBot="1">
      <c r="A68" s="156">
        <v>20</v>
      </c>
      <c r="B68" s="171" t="s">
        <v>78</v>
      </c>
      <c r="C68" s="115" t="s">
        <v>79</v>
      </c>
      <c r="D68" s="41">
        <f t="shared" si="0"/>
        <v>0</v>
      </c>
      <c r="E68" s="158">
        <v>0</v>
      </c>
      <c r="F68" s="159"/>
      <c r="G68" s="160"/>
      <c r="H68" s="41">
        <f t="shared" si="1"/>
        <v>0</v>
      </c>
      <c r="I68" s="62"/>
      <c r="J68" s="62"/>
      <c r="K68" s="41">
        <f t="shared" si="2"/>
        <v>0</v>
      </c>
      <c r="L68" s="62"/>
      <c r="M68" s="62"/>
      <c r="N68" s="161">
        <f t="shared" si="10"/>
        <v>0</v>
      </c>
      <c r="O68" s="162"/>
      <c r="P68" s="138">
        <f t="shared" si="5"/>
        <v>0</v>
      </c>
      <c r="Q68" s="158"/>
      <c r="R68" s="138">
        <f t="shared" si="6"/>
        <v>0</v>
      </c>
      <c r="S68" s="158"/>
      <c r="T68" s="158"/>
      <c r="U68" s="138">
        <f t="shared" si="7"/>
        <v>0</v>
      </c>
      <c r="V68" s="158"/>
      <c r="W68" s="138">
        <f t="shared" si="12"/>
        <v>0</v>
      </c>
      <c r="X68" s="163"/>
    </row>
    <row r="69" spans="1:27" ht="16.5" thickBot="1">
      <c r="A69" s="164"/>
      <c r="B69" s="165"/>
      <c r="C69" s="119" t="s">
        <v>21</v>
      </c>
      <c r="D69" s="41">
        <f t="shared" si="0"/>
        <v>0</v>
      </c>
      <c r="E69" s="166">
        <v>0</v>
      </c>
      <c r="F69" s="167"/>
      <c r="G69" s="168"/>
      <c r="H69" s="41">
        <f t="shared" si="1"/>
        <v>0</v>
      </c>
      <c r="I69" s="62"/>
      <c r="J69" s="62"/>
      <c r="K69" s="41">
        <f t="shared" si="2"/>
        <v>0</v>
      </c>
      <c r="L69" s="62"/>
      <c r="M69" s="62"/>
      <c r="N69" s="143">
        <f t="shared" si="10"/>
        <v>0</v>
      </c>
      <c r="O69" s="169"/>
      <c r="P69" s="121">
        <f t="shared" si="5"/>
        <v>0</v>
      </c>
      <c r="Q69" s="166"/>
      <c r="R69" s="121">
        <f t="shared" si="6"/>
        <v>0</v>
      </c>
      <c r="S69" s="166"/>
      <c r="T69" s="166"/>
      <c r="U69" s="121">
        <f t="shared" si="7"/>
        <v>0</v>
      </c>
      <c r="V69" s="166"/>
      <c r="W69" s="121">
        <f t="shared" si="12"/>
        <v>0</v>
      </c>
      <c r="X69" s="170"/>
    </row>
    <row r="70" spans="1:27" ht="32.25" thickBot="1">
      <c r="A70" s="156">
        <v>21</v>
      </c>
      <c r="B70" s="171" t="s">
        <v>80</v>
      </c>
      <c r="C70" s="115" t="s">
        <v>24</v>
      </c>
      <c r="D70" s="41">
        <f t="shared" si="0"/>
        <v>1.8181818181818181</v>
      </c>
      <c r="E70" s="158"/>
      <c r="F70" s="159"/>
      <c r="G70" s="160"/>
      <c r="H70" s="41">
        <f t="shared" si="1"/>
        <v>1.8181818181818181</v>
      </c>
      <c r="I70" s="62">
        <f>I71/1100</f>
        <v>1.8181818181818181</v>
      </c>
      <c r="J70" s="62"/>
      <c r="K70" s="41">
        <f t="shared" si="2"/>
        <v>0</v>
      </c>
      <c r="L70" s="62"/>
      <c r="M70" s="62"/>
      <c r="N70" s="161">
        <f t="shared" si="10"/>
        <v>0</v>
      </c>
      <c r="O70" s="162"/>
      <c r="P70" s="138">
        <f t="shared" si="5"/>
        <v>0</v>
      </c>
      <c r="Q70" s="158"/>
      <c r="R70" s="138">
        <f t="shared" si="6"/>
        <v>0</v>
      </c>
      <c r="S70" s="158"/>
      <c r="T70" s="158"/>
      <c r="U70" s="138">
        <f t="shared" si="7"/>
        <v>0</v>
      </c>
      <c r="V70" s="158"/>
      <c r="W70" s="138">
        <f t="shared" si="12"/>
        <v>0</v>
      </c>
      <c r="X70" s="163"/>
    </row>
    <row r="71" spans="1:27" s="6" customFormat="1" ht="16.5" thickBot="1">
      <c r="A71" s="164"/>
      <c r="B71" s="165"/>
      <c r="C71" s="119" t="s">
        <v>21</v>
      </c>
      <c r="D71" s="41">
        <f t="shared" si="0"/>
        <v>2000</v>
      </c>
      <c r="E71" s="166"/>
      <c r="F71" s="167"/>
      <c r="G71" s="168"/>
      <c r="H71" s="41">
        <f t="shared" si="1"/>
        <v>2000</v>
      </c>
      <c r="I71" s="62">
        <f>2000</f>
        <v>2000</v>
      </c>
      <c r="J71" s="62"/>
      <c r="K71" s="41">
        <f t="shared" si="2"/>
        <v>0</v>
      </c>
      <c r="L71" s="62"/>
      <c r="M71" s="62"/>
      <c r="N71" s="143">
        <f t="shared" si="10"/>
        <v>0</v>
      </c>
      <c r="O71" s="169"/>
      <c r="P71" s="121">
        <f t="shared" si="5"/>
        <v>0</v>
      </c>
      <c r="Q71" s="166"/>
      <c r="R71" s="121">
        <f t="shared" si="6"/>
        <v>0</v>
      </c>
      <c r="S71" s="166"/>
      <c r="T71" s="166"/>
      <c r="U71" s="121">
        <f t="shared" si="7"/>
        <v>0</v>
      </c>
      <c r="V71" s="166"/>
      <c r="W71" s="121">
        <f t="shared" si="12"/>
        <v>0</v>
      </c>
      <c r="X71" s="170"/>
    </row>
    <row r="72" spans="1:27" s="22" customFormat="1" ht="17.25" thickTop="1" thickBot="1">
      <c r="A72" s="173" t="s">
        <v>81</v>
      </c>
      <c r="B72" s="174" t="s">
        <v>82</v>
      </c>
      <c r="C72" s="175" t="s">
        <v>21</v>
      </c>
      <c r="D72" s="41">
        <f t="shared" si="0"/>
        <v>20270</v>
      </c>
      <c r="E72" s="176">
        <f t="shared" ref="E72:X72" si="13">E74+E84+E86</f>
        <v>0</v>
      </c>
      <c r="F72" s="176">
        <f t="shared" si="13"/>
        <v>0</v>
      </c>
      <c r="G72" s="177">
        <f t="shared" si="13"/>
        <v>0</v>
      </c>
      <c r="H72" s="41">
        <f t="shared" si="1"/>
        <v>20270</v>
      </c>
      <c r="I72" s="178">
        <f>I74+I84+I86</f>
        <v>7270</v>
      </c>
      <c r="J72" s="178">
        <f>J74+J84+J86</f>
        <v>13000</v>
      </c>
      <c r="K72" s="41">
        <f t="shared" si="2"/>
        <v>0</v>
      </c>
      <c r="L72" s="179">
        <f t="shared" si="13"/>
        <v>0</v>
      </c>
      <c r="M72" s="179">
        <f t="shared" si="13"/>
        <v>0</v>
      </c>
      <c r="N72" s="176">
        <f t="shared" si="13"/>
        <v>0</v>
      </c>
      <c r="O72" s="176">
        <f t="shared" si="13"/>
        <v>0</v>
      </c>
      <c r="P72" s="176">
        <f t="shared" si="13"/>
        <v>0</v>
      </c>
      <c r="Q72" s="176">
        <f t="shared" si="13"/>
        <v>0</v>
      </c>
      <c r="R72" s="176">
        <f t="shared" si="13"/>
        <v>0</v>
      </c>
      <c r="S72" s="176">
        <f t="shared" si="13"/>
        <v>0</v>
      </c>
      <c r="T72" s="176">
        <f t="shared" si="13"/>
        <v>0</v>
      </c>
      <c r="U72" s="176">
        <f t="shared" si="13"/>
        <v>0</v>
      </c>
      <c r="V72" s="176">
        <f t="shared" si="13"/>
        <v>0</v>
      </c>
      <c r="W72" s="176">
        <f t="shared" si="13"/>
        <v>0</v>
      </c>
      <c r="X72" s="176">
        <f t="shared" si="13"/>
        <v>0</v>
      </c>
    </row>
    <row r="73" spans="1:27" ht="18.75" customHeight="1" thickTop="1" thickBot="1">
      <c r="A73" s="111">
        <v>18</v>
      </c>
      <c r="B73" s="180" t="s">
        <v>83</v>
      </c>
      <c r="C73" s="181" t="s">
        <v>51</v>
      </c>
      <c r="D73" s="41">
        <f t="shared" si="0"/>
        <v>9.6</v>
      </c>
      <c r="E73" s="53">
        <f t="shared" ref="E73:L74" si="14">E75+E77+E79+E81</f>
        <v>0</v>
      </c>
      <c r="F73" s="53">
        <f t="shared" si="14"/>
        <v>0</v>
      </c>
      <c r="G73" s="53">
        <f t="shared" si="14"/>
        <v>0</v>
      </c>
      <c r="H73" s="48">
        <f t="shared" si="1"/>
        <v>9.6</v>
      </c>
      <c r="I73" s="18">
        <f t="shared" si="14"/>
        <v>2.6</v>
      </c>
      <c r="J73" s="18">
        <f t="shared" si="14"/>
        <v>7</v>
      </c>
      <c r="K73" s="49">
        <f t="shared" si="2"/>
        <v>0</v>
      </c>
      <c r="L73" s="18">
        <f t="shared" si="14"/>
        <v>0</v>
      </c>
      <c r="M73" s="18">
        <f>M75+M77+M79+M81</f>
        <v>0</v>
      </c>
      <c r="N73" s="54">
        <f t="shared" ref="N73:X74" si="15">N75+N77+N79+N81</f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60"/>
      <c r="B74" s="180" t="s">
        <v>84</v>
      </c>
      <c r="C74" s="182" t="s">
        <v>21</v>
      </c>
      <c r="D74" s="41">
        <f t="shared" si="0"/>
        <v>16470</v>
      </c>
      <c r="E74" s="53">
        <f t="shared" si="14"/>
        <v>0</v>
      </c>
      <c r="F74" s="53">
        <f t="shared" si="14"/>
        <v>0</v>
      </c>
      <c r="G74" s="53">
        <f t="shared" si="14"/>
        <v>0</v>
      </c>
      <c r="H74" s="48">
        <f t="shared" si="1"/>
        <v>16470</v>
      </c>
      <c r="I74" s="18">
        <f>I76+I78+I80+I82</f>
        <v>4470</v>
      </c>
      <c r="J74" s="18">
        <f>J76+J78+J80+J82</f>
        <v>12000</v>
      </c>
      <c r="K74" s="49">
        <f t="shared" si="2"/>
        <v>0</v>
      </c>
      <c r="L74" s="18">
        <f>L76+L78+L80+L82</f>
        <v>0</v>
      </c>
      <c r="M74" s="18">
        <f>M76+M78+M80+M82</f>
        <v>0</v>
      </c>
      <c r="N74" s="54">
        <f t="shared" si="15"/>
        <v>0</v>
      </c>
      <c r="O74" s="53">
        <f t="shared" si="15"/>
        <v>0</v>
      </c>
      <c r="P74" s="53">
        <f t="shared" si="15"/>
        <v>0</v>
      </c>
      <c r="Q74" s="53">
        <f t="shared" si="15"/>
        <v>0</v>
      </c>
      <c r="R74" s="53">
        <f t="shared" si="15"/>
        <v>0</v>
      </c>
      <c r="S74" s="53">
        <f t="shared" si="15"/>
        <v>0</v>
      </c>
      <c r="T74" s="53">
        <f t="shared" si="15"/>
        <v>0</v>
      </c>
      <c r="U74" s="53">
        <f t="shared" si="15"/>
        <v>0</v>
      </c>
      <c r="V74" s="53">
        <f t="shared" si="15"/>
        <v>0</v>
      </c>
      <c r="W74" s="53">
        <f t="shared" si="15"/>
        <v>0</v>
      </c>
      <c r="X74" s="53">
        <f t="shared" si="15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182" t="s">
        <v>87</v>
      </c>
      <c r="D75" s="41">
        <f t="shared" si="0"/>
        <v>2.5</v>
      </c>
      <c r="E75" s="57">
        <f t="shared" ref="E75:E86" si="16">F75+G75</f>
        <v>0</v>
      </c>
      <c r="F75" s="62"/>
      <c r="G75" s="62"/>
      <c r="H75" s="48">
        <f t="shared" si="1"/>
        <v>2.5</v>
      </c>
      <c r="I75" s="20">
        <v>0.5</v>
      </c>
      <c r="J75" s="20">
        <v>2</v>
      </c>
      <c r="K75" s="49">
        <f t="shared" si="2"/>
        <v>0</v>
      </c>
      <c r="L75" s="20"/>
      <c r="M75" s="20"/>
      <c r="N75" s="59">
        <f t="shared" ref="N75:N86" si="17">O75</f>
        <v>0</v>
      </c>
      <c r="O75" s="64"/>
      <c r="P75" s="57">
        <f t="shared" ref="P75:P86" si="18">Q75</f>
        <v>0</v>
      </c>
      <c r="Q75" s="57"/>
      <c r="R75" s="57">
        <f t="shared" ref="R75:R86" si="19">S75+T75</f>
        <v>0</v>
      </c>
      <c r="S75" s="57"/>
      <c r="T75" s="57"/>
      <c r="U75" s="57">
        <f t="shared" ref="U75:U86" si="20">V75</f>
        <v>0</v>
      </c>
      <c r="V75" s="57"/>
      <c r="W75" s="57">
        <f t="shared" ref="W75:W86" si="21">X75</f>
        <v>0</v>
      </c>
      <c r="X75" s="57"/>
      <c r="Y75" s="9"/>
      <c r="Z75" s="9"/>
      <c r="AA75" s="9"/>
    </row>
    <row r="76" spans="1:27" ht="16.5" thickBot="1">
      <c r="A76" s="67"/>
      <c r="B76" s="184"/>
      <c r="C76" s="182" t="s">
        <v>21</v>
      </c>
      <c r="D76" s="41">
        <f t="shared" si="0"/>
        <v>4250</v>
      </c>
      <c r="E76" s="57">
        <f t="shared" si="16"/>
        <v>0</v>
      </c>
      <c r="F76" s="62"/>
      <c r="G76" s="62"/>
      <c r="H76" s="48">
        <f t="shared" si="1"/>
        <v>4250</v>
      </c>
      <c r="I76" s="20">
        <f>I75*1700</f>
        <v>850</v>
      </c>
      <c r="J76" s="20">
        <f>J75*1700</f>
        <v>3400</v>
      </c>
      <c r="K76" s="49">
        <f t="shared" si="2"/>
        <v>0</v>
      </c>
      <c r="L76" s="20"/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182" t="s">
        <v>51</v>
      </c>
      <c r="D77" s="41">
        <f t="shared" ref="D77:D97" si="22">H77+K77</f>
        <v>3</v>
      </c>
      <c r="E77" s="57">
        <f t="shared" si="16"/>
        <v>0</v>
      </c>
      <c r="F77" s="62"/>
      <c r="G77" s="62"/>
      <c r="H77" s="48">
        <f t="shared" si="1"/>
        <v>3</v>
      </c>
      <c r="I77" s="20">
        <v>1</v>
      </c>
      <c r="J77" s="20">
        <v>2</v>
      </c>
      <c r="K77" s="49">
        <f t="shared" si="2"/>
        <v>0</v>
      </c>
      <c r="L77" s="20"/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67"/>
      <c r="B78" s="184"/>
      <c r="C78" s="182" t="s">
        <v>21</v>
      </c>
      <c r="D78" s="41">
        <f t="shared" si="22"/>
        <v>5100</v>
      </c>
      <c r="E78" s="57">
        <f t="shared" si="16"/>
        <v>0</v>
      </c>
      <c r="F78" s="62"/>
      <c r="G78" s="62"/>
      <c r="H78" s="48">
        <f t="shared" ref="H78:H97" si="23">I78+J78</f>
        <v>5100</v>
      </c>
      <c r="I78" s="20">
        <f>I77*1700</f>
        <v>1700</v>
      </c>
      <c r="J78" s="20">
        <f>J77*1700</f>
        <v>3400</v>
      </c>
      <c r="K78" s="49">
        <f t="shared" ref="K78:K97" si="24">L78+M78</f>
        <v>0</v>
      </c>
      <c r="L78" s="185"/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182" t="s">
        <v>51</v>
      </c>
      <c r="D79" s="41">
        <f t="shared" si="22"/>
        <v>2.6</v>
      </c>
      <c r="E79" s="57">
        <f t="shared" si="16"/>
        <v>0</v>
      </c>
      <c r="F79" s="62"/>
      <c r="G79" s="62"/>
      <c r="H79" s="48">
        <f t="shared" si="23"/>
        <v>2.6</v>
      </c>
      <c r="I79" s="20">
        <v>0.6</v>
      </c>
      <c r="J79" s="20">
        <v>2</v>
      </c>
      <c r="K79" s="49">
        <f t="shared" si="24"/>
        <v>0</v>
      </c>
      <c r="L79" s="20"/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67"/>
      <c r="B80" s="184"/>
      <c r="C80" s="182" t="s">
        <v>21</v>
      </c>
      <c r="D80" s="41">
        <f t="shared" si="22"/>
        <v>4420</v>
      </c>
      <c r="E80" s="57">
        <f t="shared" si="16"/>
        <v>0</v>
      </c>
      <c r="F80" s="62"/>
      <c r="G80" s="62"/>
      <c r="H80" s="48">
        <f t="shared" si="23"/>
        <v>4420</v>
      </c>
      <c r="I80" s="20">
        <f>I79*1700</f>
        <v>1020</v>
      </c>
      <c r="J80" s="20">
        <f>J79*1700</f>
        <v>3400</v>
      </c>
      <c r="K80" s="49">
        <f t="shared" si="24"/>
        <v>0</v>
      </c>
      <c r="L80" s="20"/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182" t="s">
        <v>51</v>
      </c>
      <c r="D81" s="41">
        <f t="shared" si="22"/>
        <v>1.5</v>
      </c>
      <c r="E81" s="57">
        <f t="shared" si="16"/>
        <v>0</v>
      </c>
      <c r="F81" s="62"/>
      <c r="G81" s="62"/>
      <c r="H81" s="48">
        <f t="shared" si="23"/>
        <v>1.5</v>
      </c>
      <c r="I81" s="20">
        <v>0.5</v>
      </c>
      <c r="J81" s="20">
        <v>1</v>
      </c>
      <c r="K81" s="49">
        <f t="shared" si="24"/>
        <v>0</v>
      </c>
      <c r="L81" s="20"/>
      <c r="M81" s="20"/>
      <c r="N81" s="59">
        <f t="shared" si="17"/>
        <v>0</v>
      </c>
      <c r="O81" s="64"/>
      <c r="P81" s="57">
        <f t="shared" si="18"/>
        <v>0</v>
      </c>
      <c r="Q81" s="57"/>
      <c r="R81" s="57">
        <f t="shared" si="19"/>
        <v>0</v>
      </c>
      <c r="S81" s="57"/>
      <c r="T81" s="57"/>
      <c r="U81" s="57">
        <f t="shared" si="20"/>
        <v>0</v>
      </c>
      <c r="V81" s="57"/>
      <c r="W81" s="57">
        <f t="shared" si="21"/>
        <v>0</v>
      </c>
      <c r="X81" s="57"/>
      <c r="Y81" s="9"/>
      <c r="Z81" s="9"/>
      <c r="AA81" s="9"/>
    </row>
    <row r="82" spans="1:27" ht="16.5" thickBot="1">
      <c r="A82" s="149"/>
      <c r="B82" s="186"/>
      <c r="C82" s="187" t="s">
        <v>21</v>
      </c>
      <c r="D82" s="41">
        <f t="shared" si="22"/>
        <v>2700</v>
      </c>
      <c r="E82" s="57">
        <f t="shared" si="16"/>
        <v>0</v>
      </c>
      <c r="F82" s="62"/>
      <c r="G82" s="62"/>
      <c r="H82" s="48">
        <f t="shared" si="23"/>
        <v>2700</v>
      </c>
      <c r="I82" s="20">
        <f>I81*1800</f>
        <v>900</v>
      </c>
      <c r="J82" s="20">
        <f>J81*1800</f>
        <v>1800</v>
      </c>
      <c r="K82" s="49">
        <f t="shared" si="24"/>
        <v>0</v>
      </c>
      <c r="L82" s="20"/>
      <c r="M82" s="20"/>
      <c r="N82" s="59">
        <f t="shared" si="17"/>
        <v>0</v>
      </c>
      <c r="O82" s="120"/>
      <c r="P82" s="57">
        <f t="shared" si="18"/>
        <v>0</v>
      </c>
      <c r="Q82" s="72"/>
      <c r="R82" s="57">
        <f t="shared" si="19"/>
        <v>0</v>
      </c>
      <c r="S82" s="72"/>
      <c r="T82" s="72"/>
      <c r="U82" s="57">
        <f t="shared" si="20"/>
        <v>0</v>
      </c>
      <c r="V82" s="72"/>
      <c r="W82" s="57">
        <f t="shared" si="21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189" t="s">
        <v>47</v>
      </c>
      <c r="D83" s="41">
        <f t="shared" si="22"/>
        <v>300</v>
      </c>
      <c r="E83" s="57">
        <f t="shared" si="16"/>
        <v>0</v>
      </c>
      <c r="F83" s="62"/>
      <c r="G83" s="62"/>
      <c r="H83" s="48">
        <f t="shared" si="23"/>
        <v>300</v>
      </c>
      <c r="I83" s="20">
        <v>300</v>
      </c>
      <c r="J83" s="20"/>
      <c r="K83" s="49">
        <f t="shared" si="24"/>
        <v>0</v>
      </c>
      <c r="L83" s="20"/>
      <c r="M83" s="20"/>
      <c r="N83" s="59">
        <f t="shared" si="17"/>
        <v>0</v>
      </c>
      <c r="O83" s="137"/>
      <c r="P83" s="57">
        <f t="shared" si="18"/>
        <v>0</v>
      </c>
      <c r="Q83" s="123"/>
      <c r="R83" s="57">
        <f t="shared" si="19"/>
        <v>0</v>
      </c>
      <c r="S83" s="123"/>
      <c r="T83" s="123"/>
      <c r="U83" s="57">
        <f t="shared" si="20"/>
        <v>0</v>
      </c>
      <c r="V83" s="123"/>
      <c r="W83" s="57">
        <f t="shared" si="21"/>
        <v>0</v>
      </c>
      <c r="X83" s="123"/>
      <c r="Y83" s="9"/>
      <c r="Z83" s="9"/>
      <c r="AA83" s="9"/>
    </row>
    <row r="84" spans="1:27" ht="16.5" thickBot="1">
      <c r="A84" s="149"/>
      <c r="B84" s="186"/>
      <c r="C84" s="190" t="s">
        <v>21</v>
      </c>
      <c r="D84" s="41">
        <f t="shared" si="22"/>
        <v>2000</v>
      </c>
      <c r="E84" s="57">
        <f t="shared" si="16"/>
        <v>0</v>
      </c>
      <c r="F84" s="62"/>
      <c r="G84" s="62"/>
      <c r="H84" s="48">
        <f t="shared" si="23"/>
        <v>2000</v>
      </c>
      <c r="I84" s="20">
        <v>2000</v>
      </c>
      <c r="J84" s="20"/>
      <c r="K84" s="49">
        <f t="shared" si="24"/>
        <v>0</v>
      </c>
      <c r="L84" s="20"/>
      <c r="M84" s="20"/>
      <c r="N84" s="59">
        <f t="shared" si="17"/>
        <v>0</v>
      </c>
      <c r="O84" s="120"/>
      <c r="P84" s="57">
        <f t="shared" si="18"/>
        <v>0</v>
      </c>
      <c r="Q84" s="121"/>
      <c r="R84" s="57">
        <f t="shared" si="19"/>
        <v>0</v>
      </c>
      <c r="S84" s="121"/>
      <c r="T84" s="121"/>
      <c r="U84" s="57">
        <f t="shared" si="20"/>
        <v>0</v>
      </c>
      <c r="V84" s="121"/>
      <c r="W84" s="57">
        <f t="shared" si="21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189" t="s">
        <v>47</v>
      </c>
      <c r="D85" s="41">
        <f t="shared" si="22"/>
        <v>1400</v>
      </c>
      <c r="E85" s="57">
        <f t="shared" si="16"/>
        <v>0</v>
      </c>
      <c r="F85" s="62"/>
      <c r="G85" s="62"/>
      <c r="H85" s="48">
        <f t="shared" si="23"/>
        <v>1400</v>
      </c>
      <c r="I85" s="20">
        <v>400</v>
      </c>
      <c r="J85" s="20">
        <v>1000</v>
      </c>
      <c r="K85" s="49">
        <f t="shared" si="24"/>
        <v>0</v>
      </c>
      <c r="L85" s="20"/>
      <c r="M85" s="20"/>
      <c r="N85" s="59">
        <f t="shared" si="17"/>
        <v>0</v>
      </c>
      <c r="O85" s="137"/>
      <c r="P85" s="57">
        <f t="shared" si="18"/>
        <v>0</v>
      </c>
      <c r="Q85" s="123"/>
      <c r="R85" s="57">
        <f t="shared" si="19"/>
        <v>0</v>
      </c>
      <c r="S85" s="123"/>
      <c r="T85" s="123"/>
      <c r="U85" s="57">
        <f t="shared" si="20"/>
        <v>0</v>
      </c>
      <c r="V85" s="123"/>
      <c r="W85" s="57">
        <f t="shared" si="21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190" t="s">
        <v>21</v>
      </c>
      <c r="D86" s="41">
        <f t="shared" si="22"/>
        <v>1800</v>
      </c>
      <c r="E86" s="57">
        <f t="shared" si="16"/>
        <v>0</v>
      </c>
      <c r="F86" s="62"/>
      <c r="G86" s="62"/>
      <c r="H86" s="48">
        <f t="shared" si="23"/>
        <v>1800</v>
      </c>
      <c r="I86" s="20">
        <v>800</v>
      </c>
      <c r="J86" s="20">
        <v>1000</v>
      </c>
      <c r="K86" s="49">
        <f t="shared" si="24"/>
        <v>0</v>
      </c>
      <c r="L86" s="20"/>
      <c r="M86" s="20"/>
      <c r="N86" s="59">
        <f t="shared" si="17"/>
        <v>0</v>
      </c>
      <c r="O86" s="120"/>
      <c r="P86" s="57">
        <f t="shared" si="18"/>
        <v>0</v>
      </c>
      <c r="Q86" s="121"/>
      <c r="R86" s="57">
        <f t="shared" si="19"/>
        <v>0</v>
      </c>
      <c r="S86" s="121"/>
      <c r="T86" s="121"/>
      <c r="U86" s="57">
        <f t="shared" si="20"/>
        <v>0</v>
      </c>
      <c r="V86" s="121"/>
      <c r="W86" s="57">
        <f t="shared" si="21"/>
        <v>0</v>
      </c>
      <c r="X86" s="121"/>
      <c r="Y86" s="9"/>
      <c r="Z86" s="9"/>
      <c r="AA86" s="9"/>
    </row>
    <row r="87" spans="1:27" s="22" customFormat="1" ht="17.25" thickTop="1" thickBot="1">
      <c r="A87" s="194" t="s">
        <v>98</v>
      </c>
      <c r="B87" s="174" t="s">
        <v>99</v>
      </c>
      <c r="C87" s="194" t="s">
        <v>21</v>
      </c>
      <c r="D87" s="41">
        <f t="shared" si="22"/>
        <v>3800</v>
      </c>
      <c r="E87" s="176">
        <f t="shared" ref="E87:X87" si="25">E89+E91+E93</f>
        <v>0</v>
      </c>
      <c r="F87" s="176">
        <f t="shared" si="25"/>
        <v>0</v>
      </c>
      <c r="G87" s="176">
        <f t="shared" si="25"/>
        <v>0</v>
      </c>
      <c r="H87" s="41">
        <f t="shared" si="23"/>
        <v>3800</v>
      </c>
      <c r="I87" s="195">
        <f t="shared" si="25"/>
        <v>3800</v>
      </c>
      <c r="J87" s="195">
        <f t="shared" si="25"/>
        <v>0</v>
      </c>
      <c r="K87" s="41">
        <f t="shared" si="24"/>
        <v>0</v>
      </c>
      <c r="L87" s="195">
        <f t="shared" si="25"/>
        <v>0</v>
      </c>
      <c r="M87" s="195">
        <f t="shared" si="25"/>
        <v>0</v>
      </c>
      <c r="N87" s="176">
        <f t="shared" si="25"/>
        <v>0</v>
      </c>
      <c r="O87" s="176">
        <f t="shared" si="25"/>
        <v>0</v>
      </c>
      <c r="P87" s="176">
        <f t="shared" si="25"/>
        <v>0</v>
      </c>
      <c r="Q87" s="176">
        <f t="shared" si="25"/>
        <v>0</v>
      </c>
      <c r="R87" s="176">
        <f t="shared" si="25"/>
        <v>0</v>
      </c>
      <c r="S87" s="176">
        <f t="shared" si="25"/>
        <v>0</v>
      </c>
      <c r="T87" s="176">
        <f t="shared" si="25"/>
        <v>0</v>
      </c>
      <c r="U87" s="176">
        <f t="shared" si="25"/>
        <v>0</v>
      </c>
      <c r="V87" s="176">
        <f t="shared" si="25"/>
        <v>0</v>
      </c>
      <c r="W87" s="176">
        <f t="shared" si="25"/>
        <v>0</v>
      </c>
      <c r="X87" s="176">
        <f t="shared" si="25"/>
        <v>0</v>
      </c>
      <c r="Y87" s="23"/>
      <c r="Z87" s="23"/>
      <c r="AA87" s="23"/>
    </row>
    <row r="88" spans="1:27" ht="17.25" thickTop="1" thickBot="1">
      <c r="A88" s="153">
        <v>20</v>
      </c>
      <c r="B88" s="3" t="s">
        <v>100</v>
      </c>
      <c r="C88" s="115" t="s">
        <v>51</v>
      </c>
      <c r="D88" s="41">
        <f t="shared" si="22"/>
        <v>3.5</v>
      </c>
      <c r="E88" s="57">
        <f>F88+G88</f>
        <v>0</v>
      </c>
      <c r="F88" s="62"/>
      <c r="G88" s="62"/>
      <c r="H88" s="41">
        <f t="shared" si="23"/>
        <v>3.5</v>
      </c>
      <c r="I88" s="196">
        <v>3.5</v>
      </c>
      <c r="J88" s="197"/>
      <c r="K88" s="41">
        <f t="shared" si="24"/>
        <v>0</v>
      </c>
      <c r="L88" s="62"/>
      <c r="M88" s="62"/>
      <c r="N88" s="57">
        <f t="shared" ref="N88:N93" si="26">O88</f>
        <v>0</v>
      </c>
      <c r="O88" s="189"/>
      <c r="P88" s="57">
        <f t="shared" ref="P88:P93" si="27">Q88</f>
        <v>0</v>
      </c>
      <c r="Q88" s="123"/>
      <c r="R88" s="57">
        <f t="shared" ref="R88:R93" si="28">S88+T88</f>
        <v>0</v>
      </c>
      <c r="S88" s="123"/>
      <c r="T88" s="123"/>
      <c r="U88" s="57">
        <f t="shared" ref="U88:U93" si="29">V88</f>
        <v>0</v>
      </c>
      <c r="V88" s="123"/>
      <c r="W88" s="57">
        <f t="shared" ref="W88:W93" si="30">X88</f>
        <v>0</v>
      </c>
      <c r="X88" s="123"/>
    </row>
    <row r="89" spans="1:27" ht="16.5" thickBot="1">
      <c r="A89" s="198"/>
      <c r="B89" s="199" t="s">
        <v>101</v>
      </c>
      <c r="C89" s="119" t="s">
        <v>21</v>
      </c>
      <c r="D89" s="41">
        <f t="shared" si="22"/>
        <v>600</v>
      </c>
      <c r="E89" s="57">
        <f>F89+G89</f>
        <v>0</v>
      </c>
      <c r="F89" s="62"/>
      <c r="G89" s="62"/>
      <c r="H89" s="41">
        <f t="shared" si="23"/>
        <v>600</v>
      </c>
      <c r="I89" s="196">
        <v>600</v>
      </c>
      <c r="J89" s="197"/>
      <c r="K89" s="41">
        <f t="shared" si="24"/>
        <v>0</v>
      </c>
      <c r="L89" s="62"/>
      <c r="M89" s="62"/>
      <c r="N89" s="57">
        <f t="shared" si="26"/>
        <v>0</v>
      </c>
      <c r="O89" s="190"/>
      <c r="P89" s="57">
        <f t="shared" si="27"/>
        <v>0</v>
      </c>
      <c r="Q89" s="121"/>
      <c r="R89" s="57">
        <f t="shared" si="28"/>
        <v>0</v>
      </c>
      <c r="S89" s="121"/>
      <c r="T89" s="121"/>
      <c r="U89" s="57">
        <f t="shared" si="29"/>
        <v>0</v>
      </c>
      <c r="V89" s="121"/>
      <c r="W89" s="57">
        <f t="shared" si="30"/>
        <v>0</v>
      </c>
      <c r="X89" s="121"/>
    </row>
    <row r="90" spans="1:27" ht="16.5" thickBot="1">
      <c r="A90" s="111">
        <v>21</v>
      </c>
      <c r="B90" s="1" t="s">
        <v>102</v>
      </c>
      <c r="C90" s="52" t="s">
        <v>47</v>
      </c>
      <c r="D90" s="41">
        <f t="shared" si="22"/>
        <v>2000</v>
      </c>
      <c r="E90" s="57">
        <v>0</v>
      </c>
      <c r="F90" s="62"/>
      <c r="G90" s="62"/>
      <c r="H90" s="41">
        <f>I90+J91</f>
        <v>2000</v>
      </c>
      <c r="I90" s="196">
        <v>2000</v>
      </c>
      <c r="K90" s="41">
        <f t="shared" si="24"/>
        <v>0</v>
      </c>
      <c r="L90" s="62"/>
      <c r="M90" s="62"/>
      <c r="N90" s="57">
        <f t="shared" si="26"/>
        <v>0</v>
      </c>
      <c r="O90" s="200"/>
      <c r="P90" s="57">
        <f t="shared" si="27"/>
        <v>0</v>
      </c>
      <c r="Q90" s="53"/>
      <c r="R90" s="57">
        <f t="shared" si="28"/>
        <v>0</v>
      </c>
      <c r="S90" s="53"/>
      <c r="T90" s="53"/>
      <c r="U90" s="57">
        <f t="shared" si="29"/>
        <v>0</v>
      </c>
      <c r="V90" s="53"/>
      <c r="W90" s="57">
        <f t="shared" si="30"/>
        <v>0</v>
      </c>
      <c r="X90" s="53"/>
    </row>
    <row r="91" spans="1:27" ht="16.5" thickBot="1">
      <c r="A91" s="201"/>
      <c r="B91" s="2" t="s">
        <v>103</v>
      </c>
      <c r="C91" s="140" t="s">
        <v>21</v>
      </c>
      <c r="D91" s="41">
        <f t="shared" si="22"/>
        <v>1900</v>
      </c>
      <c r="E91" s="57">
        <f>F91+G91</f>
        <v>0</v>
      </c>
      <c r="F91" s="62"/>
      <c r="G91" s="62"/>
      <c r="H91" s="41">
        <f t="shared" ref="H91:H93" si="31">I91+J92</f>
        <v>1900</v>
      </c>
      <c r="I91" s="196">
        <v>1900</v>
      </c>
      <c r="J91" s="197"/>
      <c r="K91" s="41">
        <f t="shared" si="24"/>
        <v>0</v>
      </c>
      <c r="L91" s="62"/>
      <c r="M91" s="62"/>
      <c r="N91" s="57">
        <f t="shared" si="26"/>
        <v>0</v>
      </c>
      <c r="O91" s="202"/>
      <c r="P91" s="57">
        <f t="shared" si="27"/>
        <v>0</v>
      </c>
      <c r="Q91" s="121"/>
      <c r="R91" s="57">
        <f t="shared" si="28"/>
        <v>0</v>
      </c>
      <c r="S91" s="121"/>
      <c r="T91" s="121"/>
      <c r="U91" s="57">
        <f t="shared" si="29"/>
        <v>0</v>
      </c>
      <c r="V91" s="121"/>
      <c r="W91" s="57">
        <f t="shared" si="30"/>
        <v>0</v>
      </c>
      <c r="X91" s="121"/>
    </row>
    <row r="92" spans="1:27" ht="16.5" thickBot="1">
      <c r="A92" s="115" t="s">
        <v>104</v>
      </c>
      <c r="B92" s="3" t="s">
        <v>105</v>
      </c>
      <c r="C92" s="115" t="s">
        <v>47</v>
      </c>
      <c r="D92" s="41">
        <f t="shared" si="22"/>
        <v>300</v>
      </c>
      <c r="E92" s="57">
        <f>F92+G92</f>
        <v>0</v>
      </c>
      <c r="F92" s="62"/>
      <c r="G92" s="62"/>
      <c r="H92" s="41">
        <f t="shared" si="31"/>
        <v>300</v>
      </c>
      <c r="I92" s="196">
        <v>300</v>
      </c>
      <c r="J92" s="197"/>
      <c r="K92" s="41">
        <f t="shared" si="24"/>
        <v>0</v>
      </c>
      <c r="L92" s="62"/>
      <c r="M92" s="62"/>
      <c r="N92" s="57">
        <f t="shared" si="26"/>
        <v>0</v>
      </c>
      <c r="O92" s="122"/>
      <c r="P92" s="57">
        <f t="shared" si="27"/>
        <v>0</v>
      </c>
      <c r="Q92" s="123"/>
      <c r="R92" s="57">
        <f t="shared" si="28"/>
        <v>0</v>
      </c>
      <c r="S92" s="123"/>
      <c r="T92" s="123"/>
      <c r="U92" s="57">
        <f t="shared" si="29"/>
        <v>0</v>
      </c>
      <c r="V92" s="123"/>
      <c r="W92" s="57">
        <f t="shared" si="30"/>
        <v>0</v>
      </c>
      <c r="X92" s="123"/>
    </row>
    <row r="93" spans="1:27" ht="16.5" thickBot="1">
      <c r="A93" s="128"/>
      <c r="B93" s="4"/>
      <c r="C93" s="128" t="s">
        <v>21</v>
      </c>
      <c r="D93" s="41">
        <f t="shared" si="22"/>
        <v>2524</v>
      </c>
      <c r="E93" s="57">
        <f>F93+G93</f>
        <v>0</v>
      </c>
      <c r="F93" s="62"/>
      <c r="G93" s="62"/>
      <c r="H93" s="41">
        <f t="shared" si="31"/>
        <v>2524</v>
      </c>
      <c r="I93" s="196">
        <v>1300</v>
      </c>
      <c r="J93" s="197"/>
      <c r="K93" s="41">
        <f t="shared" si="24"/>
        <v>0</v>
      </c>
      <c r="L93" s="62"/>
      <c r="M93" s="62"/>
      <c r="N93" s="57">
        <f t="shared" si="26"/>
        <v>0</v>
      </c>
      <c r="O93" s="116"/>
      <c r="P93" s="57">
        <f t="shared" si="27"/>
        <v>0</v>
      </c>
      <c r="Q93" s="121"/>
      <c r="R93" s="57">
        <f t="shared" si="28"/>
        <v>0</v>
      </c>
      <c r="S93" s="121"/>
      <c r="T93" s="121"/>
      <c r="U93" s="57">
        <f t="shared" si="29"/>
        <v>0</v>
      </c>
      <c r="V93" s="121"/>
      <c r="W93" s="57">
        <f t="shared" si="30"/>
        <v>0</v>
      </c>
      <c r="X93" s="121"/>
    </row>
    <row r="94" spans="1:27" s="22" customFormat="1" ht="38.25" customHeight="1" thickTop="1" thickBot="1">
      <c r="A94" s="203" t="s">
        <v>106</v>
      </c>
      <c r="B94" s="204" t="s">
        <v>107</v>
      </c>
      <c r="C94" s="203" t="s">
        <v>21</v>
      </c>
      <c r="D94" s="41">
        <f t="shared" si="22"/>
        <v>1224</v>
      </c>
      <c r="E94" s="205">
        <f t="shared" ref="E94:X94" si="32">E95+E96</f>
        <v>0</v>
      </c>
      <c r="F94" s="205">
        <f t="shared" si="32"/>
        <v>0</v>
      </c>
      <c r="G94" s="205">
        <f t="shared" si="32"/>
        <v>0</v>
      </c>
      <c r="H94" s="41">
        <f t="shared" si="23"/>
        <v>1224</v>
      </c>
      <c r="I94" s="205">
        <f t="shared" si="32"/>
        <v>0</v>
      </c>
      <c r="J94" s="205">
        <f t="shared" si="32"/>
        <v>1224</v>
      </c>
      <c r="K94" s="41">
        <f t="shared" si="24"/>
        <v>0</v>
      </c>
      <c r="L94" s="205">
        <f t="shared" si="32"/>
        <v>0</v>
      </c>
      <c r="M94" s="205">
        <f t="shared" si="32"/>
        <v>0</v>
      </c>
      <c r="N94" s="205">
        <f t="shared" si="32"/>
        <v>0</v>
      </c>
      <c r="O94" s="205">
        <f t="shared" si="32"/>
        <v>0</v>
      </c>
      <c r="P94" s="205">
        <f t="shared" si="32"/>
        <v>0</v>
      </c>
      <c r="Q94" s="205">
        <f t="shared" si="32"/>
        <v>0</v>
      </c>
      <c r="R94" s="205">
        <f t="shared" si="32"/>
        <v>0</v>
      </c>
      <c r="S94" s="205">
        <f t="shared" si="32"/>
        <v>0</v>
      </c>
      <c r="T94" s="205">
        <f t="shared" si="32"/>
        <v>0</v>
      </c>
      <c r="U94" s="205">
        <f t="shared" si="32"/>
        <v>0</v>
      </c>
      <c r="V94" s="205">
        <f t="shared" si="32"/>
        <v>0</v>
      </c>
      <c r="W94" s="205">
        <f t="shared" si="32"/>
        <v>0</v>
      </c>
      <c r="X94" s="205">
        <f t="shared" si="32"/>
        <v>0</v>
      </c>
      <c r="Y94" s="23"/>
      <c r="Z94" s="23"/>
      <c r="AA94" s="23"/>
    </row>
    <row r="95" spans="1:27" ht="17.25" thickTop="1" thickBot="1">
      <c r="A95" s="76" t="s">
        <v>108</v>
      </c>
      <c r="B95" s="206" t="s">
        <v>194</v>
      </c>
      <c r="C95" s="207" t="s">
        <v>21</v>
      </c>
      <c r="D95" s="41">
        <f t="shared" si="22"/>
        <v>1224</v>
      </c>
      <c r="E95" s="57">
        <f>F95+G95</f>
        <v>0</v>
      </c>
      <c r="F95" s="62"/>
      <c r="G95" s="62"/>
      <c r="H95" s="41">
        <f t="shared" si="23"/>
        <v>1224</v>
      </c>
      <c r="I95" s="62"/>
      <c r="J95" s="62">
        <v>1224</v>
      </c>
      <c r="K95" s="41">
        <f t="shared" si="24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78" t="s">
        <v>21</v>
      </c>
      <c r="D96" s="41">
        <f t="shared" si="22"/>
        <v>0</v>
      </c>
      <c r="E96" s="57">
        <f>F96+G96</f>
        <v>0</v>
      </c>
      <c r="F96" s="62"/>
      <c r="G96" s="62"/>
      <c r="H96" s="41">
        <f t="shared" si="23"/>
        <v>0</v>
      </c>
      <c r="I96" s="62"/>
      <c r="J96" s="62"/>
      <c r="K96" s="41">
        <f t="shared" si="24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7" s="22" customFormat="1" ht="16.5" thickBot="1">
      <c r="A97" s="209" t="s">
        <v>110</v>
      </c>
      <c r="B97" s="210" t="s">
        <v>111</v>
      </c>
      <c r="C97" s="209" t="s">
        <v>21</v>
      </c>
      <c r="D97" s="41">
        <f t="shared" si="22"/>
        <v>10466.383999999991</v>
      </c>
      <c r="E97" s="211">
        <f>F97+G97</f>
        <v>0</v>
      </c>
      <c r="F97" s="212"/>
      <c r="G97" s="212"/>
      <c r="H97" s="41">
        <f t="shared" si="23"/>
        <v>10466.383999999991</v>
      </c>
      <c r="I97" s="212">
        <f>93133.15-82666.766</f>
        <v>10466.383999999991</v>
      </c>
      <c r="J97" s="212"/>
      <c r="K97" s="41">
        <f t="shared" si="24"/>
        <v>0</v>
      </c>
      <c r="L97" s="212"/>
      <c r="M97" s="212"/>
      <c r="N97" s="211">
        <f>O97</f>
        <v>0</v>
      </c>
      <c r="O97" s="213"/>
      <c r="P97" s="211">
        <f>Q97</f>
        <v>0</v>
      </c>
      <c r="Q97" s="214"/>
      <c r="R97" s="211">
        <f>S97+T97</f>
        <v>0</v>
      </c>
      <c r="S97" s="214"/>
      <c r="T97" s="214"/>
      <c r="U97" s="211">
        <f>V97</f>
        <v>0</v>
      </c>
      <c r="V97" s="214"/>
      <c r="W97" s="211">
        <f>X97</f>
        <v>0</v>
      </c>
      <c r="X97" s="214"/>
      <c r="Y97" s="23"/>
      <c r="Z97" s="23"/>
      <c r="AA97" s="23"/>
    </row>
    <row r="98" spans="1:27" ht="16.5" thickBot="1">
      <c r="A98" s="215"/>
      <c r="B98" s="216" t="s">
        <v>112</v>
      </c>
      <c r="C98" s="217" t="s">
        <v>21</v>
      </c>
      <c r="D98" s="41">
        <f>H98+K98</f>
        <v>93133.149899999989</v>
      </c>
      <c r="E98" s="218">
        <f t="shared" ref="E98:X98" si="33">E97+E94+E87+E72+E13</f>
        <v>0</v>
      </c>
      <c r="F98" s="218">
        <f t="shared" si="33"/>
        <v>0</v>
      </c>
      <c r="G98" s="218">
        <f t="shared" si="33"/>
        <v>0</v>
      </c>
      <c r="H98" s="41">
        <f>I98+J98</f>
        <v>87454.75989999999</v>
      </c>
      <c r="I98" s="144">
        <f>I97+I94+I87+I72+I13</f>
        <v>45031.203499999989</v>
      </c>
      <c r="J98" s="144">
        <f>J97+J94+J87+J72+J13</f>
        <v>42423.556400000001</v>
      </c>
      <c r="K98" s="41">
        <f>L98+M98</f>
        <v>5678.39</v>
      </c>
      <c r="L98" s="218">
        <f t="shared" si="33"/>
        <v>716.8900000000001</v>
      </c>
      <c r="M98" s="218">
        <f>M97+M94+M87+M72+M13</f>
        <v>4961.5</v>
      </c>
      <c r="N98" s="218">
        <f t="shared" si="33"/>
        <v>0</v>
      </c>
      <c r="O98" s="218">
        <f t="shared" si="33"/>
        <v>0</v>
      </c>
      <c r="P98" s="218">
        <f t="shared" si="33"/>
        <v>0</v>
      </c>
      <c r="Q98" s="218">
        <f t="shared" si="33"/>
        <v>0</v>
      </c>
      <c r="R98" s="218">
        <f t="shared" si="33"/>
        <v>0</v>
      </c>
      <c r="S98" s="218">
        <f t="shared" si="33"/>
        <v>0</v>
      </c>
      <c r="T98" s="218">
        <f t="shared" si="33"/>
        <v>0</v>
      </c>
      <c r="U98" s="218">
        <f t="shared" si="33"/>
        <v>0</v>
      </c>
      <c r="V98" s="218">
        <f t="shared" si="33"/>
        <v>0</v>
      </c>
      <c r="W98" s="218">
        <f t="shared" si="33"/>
        <v>0</v>
      </c>
      <c r="X98" s="218">
        <f t="shared" si="33"/>
        <v>0</v>
      </c>
    </row>
    <row r="99" spans="1:27" s="26" customFormat="1" ht="13.5" thickTop="1">
      <c r="A99" s="24"/>
      <c r="B99" s="25"/>
      <c r="C99" s="25"/>
      <c r="D99" s="25">
        <v>80648.726999999999</v>
      </c>
      <c r="E99" s="25">
        <f>80648.727-D98</f>
        <v>-12484.42289999999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7" s="26" customFormat="1" ht="12.75">
      <c r="A100" s="27"/>
      <c r="B100" s="27"/>
      <c r="C100" s="27"/>
      <c r="D100" s="219">
        <f>I51</f>
        <v>900</v>
      </c>
      <c r="E100" s="27"/>
      <c r="F100" s="27"/>
      <c r="G100" s="27"/>
      <c r="H100" s="27"/>
      <c r="I100" s="27">
        <f>H97-I97</f>
        <v>0</v>
      </c>
      <c r="J100" s="27">
        <f>I97+E99</f>
        <v>-2018.0388999999996</v>
      </c>
      <c r="K100" s="27"/>
      <c r="L100" s="27"/>
      <c r="M100" s="27">
        <f>9567.184-K98</f>
        <v>3888.793999999999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7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7" ht="15.75" thickBot="1">
      <c r="A102" s="115" t="s">
        <v>114</v>
      </c>
      <c r="B102" s="221" t="s">
        <v>115</v>
      </c>
      <c r="C102" s="115" t="s">
        <v>47</v>
      </c>
      <c r="D102" s="57">
        <f t="shared" ref="D102:D127" si="34">E102+H102+K102+N102+P102+R102+U102+W102</f>
        <v>0</v>
      </c>
      <c r="E102" s="57">
        <f t="shared" ref="E102:E127" si="35">F102+G102</f>
        <v>0</v>
      </c>
      <c r="F102" s="122"/>
      <c r="G102" s="122"/>
      <c r="H102" s="57">
        <f t="shared" ref="H102:H138" si="36">I102+J102</f>
        <v>0</v>
      </c>
      <c r="I102" s="122"/>
      <c r="J102" s="122"/>
      <c r="K102" s="57">
        <f t="shared" ref="K102:K138" si="37">L102+M102</f>
        <v>0</v>
      </c>
      <c r="L102" s="122"/>
      <c r="M102" s="122"/>
      <c r="N102" s="57">
        <f t="shared" ref="N102:N138" si="38">O102</f>
        <v>0</v>
      </c>
      <c r="O102" s="122"/>
      <c r="P102" s="57">
        <f t="shared" ref="P102:P138" si="39">Q102</f>
        <v>0</v>
      </c>
      <c r="Q102" s="189"/>
      <c r="R102" s="57">
        <f t="shared" ref="R102:R138" si="40">S102+T102</f>
        <v>0</v>
      </c>
      <c r="S102" s="136"/>
      <c r="T102" s="222"/>
      <c r="U102" s="57">
        <f t="shared" ref="U102:U138" si="41">V102</f>
        <v>0</v>
      </c>
      <c r="V102" s="136"/>
      <c r="W102" s="57">
        <f t="shared" ref="W102:W138" si="42">X102</f>
        <v>0</v>
      </c>
      <c r="X102" s="136"/>
    </row>
    <row r="103" spans="1:27" ht="15.75" thickBot="1">
      <c r="A103" s="71"/>
      <c r="B103" s="223" t="s">
        <v>116</v>
      </c>
      <c r="C103" s="71" t="s">
        <v>21</v>
      </c>
      <c r="D103" s="57">
        <f t="shared" si="34"/>
        <v>0</v>
      </c>
      <c r="E103" s="57">
        <f t="shared" si="35"/>
        <v>0</v>
      </c>
      <c r="F103" s="122"/>
      <c r="G103" s="122"/>
      <c r="H103" s="57">
        <f t="shared" si="36"/>
        <v>0</v>
      </c>
      <c r="I103" s="122"/>
      <c r="J103" s="122"/>
      <c r="K103" s="57">
        <f t="shared" si="37"/>
        <v>0</v>
      </c>
      <c r="L103" s="122"/>
      <c r="M103" s="122"/>
      <c r="N103" s="57">
        <f t="shared" si="38"/>
        <v>0</v>
      </c>
      <c r="O103" s="116"/>
      <c r="P103" s="57">
        <f t="shared" si="39"/>
        <v>0</v>
      </c>
      <c r="Q103" s="224"/>
      <c r="R103" s="57">
        <f t="shared" si="40"/>
        <v>0</v>
      </c>
      <c r="S103" s="143"/>
      <c r="T103" s="225"/>
      <c r="U103" s="57">
        <f t="shared" si="41"/>
        <v>0</v>
      </c>
      <c r="V103" s="226"/>
      <c r="W103" s="57">
        <f t="shared" si="42"/>
        <v>0</v>
      </c>
      <c r="X103" s="226"/>
    </row>
    <row r="104" spans="1:27" ht="15.75" thickBot="1">
      <c r="A104" s="115" t="s">
        <v>117</v>
      </c>
      <c r="B104" s="221" t="s">
        <v>118</v>
      </c>
      <c r="C104" s="115" t="s">
        <v>47</v>
      </c>
      <c r="D104" s="57">
        <f t="shared" si="34"/>
        <v>0</v>
      </c>
      <c r="E104" s="57">
        <f t="shared" si="35"/>
        <v>0</v>
      </c>
      <c r="F104" s="122"/>
      <c r="G104" s="122"/>
      <c r="H104" s="57">
        <f t="shared" si="36"/>
        <v>0</v>
      </c>
      <c r="I104" s="122"/>
      <c r="J104" s="122"/>
      <c r="K104" s="57">
        <f t="shared" si="37"/>
        <v>0</v>
      </c>
      <c r="L104" s="122"/>
      <c r="M104" s="122"/>
      <c r="N104" s="57">
        <f t="shared" si="38"/>
        <v>0</v>
      </c>
      <c r="O104" s="122"/>
      <c r="P104" s="57">
        <f t="shared" si="39"/>
        <v>0</v>
      </c>
      <c r="Q104" s="191"/>
      <c r="R104" s="57">
        <f t="shared" si="40"/>
        <v>0</v>
      </c>
      <c r="S104" s="54"/>
      <c r="T104" s="115"/>
      <c r="U104" s="57">
        <f t="shared" si="41"/>
        <v>0</v>
      </c>
      <c r="V104" s="123"/>
      <c r="W104" s="57">
        <f t="shared" si="42"/>
        <v>0</v>
      </c>
      <c r="X104" s="123"/>
    </row>
    <row r="105" spans="1:27" ht="15.75" thickBot="1">
      <c r="A105" s="119"/>
      <c r="B105" s="190"/>
      <c r="C105" s="119" t="s">
        <v>21</v>
      </c>
      <c r="D105" s="57">
        <f t="shared" si="34"/>
        <v>0</v>
      </c>
      <c r="E105" s="57">
        <f t="shared" si="35"/>
        <v>0</v>
      </c>
      <c r="F105" s="122"/>
      <c r="G105" s="122"/>
      <c r="H105" s="57">
        <f t="shared" si="36"/>
        <v>0</v>
      </c>
      <c r="I105" s="122"/>
      <c r="J105" s="122"/>
      <c r="K105" s="57">
        <f t="shared" si="37"/>
        <v>0</v>
      </c>
      <c r="L105" s="122"/>
      <c r="M105" s="122"/>
      <c r="N105" s="57">
        <f t="shared" si="38"/>
        <v>0</v>
      </c>
      <c r="O105" s="120"/>
      <c r="P105" s="57">
        <f t="shared" si="39"/>
        <v>0</v>
      </c>
      <c r="Q105" s="149"/>
      <c r="R105" s="57">
        <f t="shared" si="40"/>
        <v>0</v>
      </c>
      <c r="S105" s="143"/>
      <c r="T105" s="119"/>
      <c r="U105" s="57">
        <f t="shared" si="41"/>
        <v>0</v>
      </c>
      <c r="V105" s="121"/>
      <c r="W105" s="57">
        <f t="shared" si="42"/>
        <v>0</v>
      </c>
      <c r="X105" s="121"/>
    </row>
    <row r="106" spans="1:27" ht="15.75" thickBot="1">
      <c r="A106" s="115" t="s">
        <v>119</v>
      </c>
      <c r="B106" s="221" t="s">
        <v>120</v>
      </c>
      <c r="C106" s="115" t="s">
        <v>47</v>
      </c>
      <c r="D106" s="57">
        <f t="shared" si="34"/>
        <v>0</v>
      </c>
      <c r="E106" s="57">
        <f t="shared" si="35"/>
        <v>0</v>
      </c>
      <c r="F106" s="122"/>
      <c r="G106" s="122"/>
      <c r="H106" s="57">
        <f t="shared" si="36"/>
        <v>0</v>
      </c>
      <c r="I106" s="122"/>
      <c r="J106" s="122"/>
      <c r="K106" s="57">
        <f t="shared" si="37"/>
        <v>0</v>
      </c>
      <c r="L106" s="122"/>
      <c r="M106" s="122"/>
      <c r="N106" s="57">
        <f t="shared" si="38"/>
        <v>0</v>
      </c>
      <c r="O106" s="122"/>
      <c r="P106" s="57">
        <f t="shared" si="39"/>
        <v>0</v>
      </c>
      <c r="Q106" s="191"/>
      <c r="R106" s="57">
        <f t="shared" si="40"/>
        <v>0</v>
      </c>
      <c r="S106" s="136"/>
      <c r="T106" s="115"/>
      <c r="U106" s="57">
        <f t="shared" si="41"/>
        <v>0</v>
      </c>
      <c r="V106" s="123"/>
      <c r="W106" s="57">
        <f t="shared" si="42"/>
        <v>0</v>
      </c>
      <c r="X106" s="123"/>
    </row>
    <row r="107" spans="1:27" ht="15.75" thickBot="1">
      <c r="A107" s="119"/>
      <c r="B107" s="190"/>
      <c r="C107" s="119" t="s">
        <v>21</v>
      </c>
      <c r="D107" s="57">
        <f t="shared" si="34"/>
        <v>0</v>
      </c>
      <c r="E107" s="57">
        <f t="shared" si="35"/>
        <v>0</v>
      </c>
      <c r="F107" s="122"/>
      <c r="G107" s="122"/>
      <c r="H107" s="57">
        <f t="shared" si="36"/>
        <v>0</v>
      </c>
      <c r="I107" s="122"/>
      <c r="J107" s="122"/>
      <c r="K107" s="57">
        <f t="shared" si="37"/>
        <v>0</v>
      </c>
      <c r="L107" s="122"/>
      <c r="M107" s="122"/>
      <c r="N107" s="57">
        <f t="shared" si="38"/>
        <v>0</v>
      </c>
      <c r="O107" s="120"/>
      <c r="P107" s="57">
        <f t="shared" si="39"/>
        <v>0</v>
      </c>
      <c r="Q107" s="149"/>
      <c r="R107" s="57">
        <f t="shared" si="40"/>
        <v>0</v>
      </c>
      <c r="S107" s="143"/>
      <c r="T107" s="119"/>
      <c r="U107" s="57">
        <f t="shared" si="41"/>
        <v>0</v>
      </c>
      <c r="V107" s="121"/>
      <c r="W107" s="57">
        <f t="shared" si="42"/>
        <v>0</v>
      </c>
      <c r="X107" s="121"/>
    </row>
    <row r="108" spans="1:27" ht="15.75" thickBot="1">
      <c r="A108" s="52" t="s">
        <v>121</v>
      </c>
      <c r="B108" s="227" t="s">
        <v>122</v>
      </c>
      <c r="C108" s="52" t="s">
        <v>24</v>
      </c>
      <c r="D108" s="57">
        <f t="shared" si="34"/>
        <v>0</v>
      </c>
      <c r="E108" s="57">
        <f t="shared" si="35"/>
        <v>0</v>
      </c>
      <c r="F108" s="122"/>
      <c r="G108" s="122"/>
      <c r="H108" s="57">
        <f t="shared" si="36"/>
        <v>0</v>
      </c>
      <c r="I108" s="122"/>
      <c r="J108" s="122"/>
      <c r="K108" s="57">
        <f t="shared" si="37"/>
        <v>0</v>
      </c>
      <c r="L108" s="122"/>
      <c r="M108" s="122"/>
      <c r="N108" s="57">
        <f t="shared" si="38"/>
        <v>0</v>
      </c>
      <c r="O108" s="228"/>
      <c r="P108" s="57">
        <f t="shared" si="39"/>
        <v>0</v>
      </c>
      <c r="Q108" s="200"/>
      <c r="R108" s="57">
        <f t="shared" si="40"/>
        <v>0</v>
      </c>
      <c r="S108" s="54"/>
      <c r="T108" s="181"/>
      <c r="U108" s="57">
        <f t="shared" si="41"/>
        <v>0</v>
      </c>
      <c r="V108" s="54"/>
      <c r="W108" s="57">
        <f t="shared" si="42"/>
        <v>0</v>
      </c>
      <c r="X108" s="54"/>
    </row>
    <row r="109" spans="1:27" ht="15.75" thickBot="1">
      <c r="A109" s="119"/>
      <c r="B109" s="229" t="s">
        <v>123</v>
      </c>
      <c r="C109" s="119" t="s">
        <v>21</v>
      </c>
      <c r="D109" s="57">
        <f t="shared" si="34"/>
        <v>0</v>
      </c>
      <c r="E109" s="57">
        <f t="shared" si="35"/>
        <v>0</v>
      </c>
      <c r="F109" s="122"/>
      <c r="G109" s="122"/>
      <c r="H109" s="57">
        <f t="shared" si="36"/>
        <v>0</v>
      </c>
      <c r="I109" s="122"/>
      <c r="J109" s="122"/>
      <c r="K109" s="57">
        <f t="shared" si="37"/>
        <v>0</v>
      </c>
      <c r="L109" s="122"/>
      <c r="M109" s="122"/>
      <c r="N109" s="57">
        <f t="shared" si="38"/>
        <v>0</v>
      </c>
      <c r="O109" s="230"/>
      <c r="P109" s="57">
        <f t="shared" si="39"/>
        <v>0</v>
      </c>
      <c r="Q109" s="202"/>
      <c r="R109" s="57">
        <f t="shared" si="40"/>
        <v>0</v>
      </c>
      <c r="S109" s="231"/>
      <c r="T109" s="232"/>
      <c r="U109" s="57">
        <f t="shared" si="41"/>
        <v>0</v>
      </c>
      <c r="V109" s="231"/>
      <c r="W109" s="57">
        <f t="shared" si="42"/>
        <v>0</v>
      </c>
      <c r="X109" s="231"/>
    </row>
    <row r="110" spans="1:27" ht="15.75" thickBot="1">
      <c r="A110" s="52" t="s">
        <v>124</v>
      </c>
      <c r="B110" s="227" t="s">
        <v>125</v>
      </c>
      <c r="C110" s="52" t="s">
        <v>47</v>
      </c>
      <c r="D110" s="57">
        <f t="shared" si="34"/>
        <v>0</v>
      </c>
      <c r="E110" s="57">
        <f t="shared" si="35"/>
        <v>0</v>
      </c>
      <c r="F110" s="122"/>
      <c r="G110" s="122"/>
      <c r="H110" s="57">
        <f t="shared" si="36"/>
        <v>0</v>
      </c>
      <c r="I110" s="122"/>
      <c r="J110" s="122"/>
      <c r="K110" s="57">
        <f t="shared" si="37"/>
        <v>0</v>
      </c>
      <c r="L110" s="122"/>
      <c r="M110" s="122"/>
      <c r="N110" s="57">
        <f t="shared" si="38"/>
        <v>0</v>
      </c>
      <c r="O110" s="122"/>
      <c r="P110" s="57">
        <f t="shared" si="39"/>
        <v>0</v>
      </c>
      <c r="Q110" s="189"/>
      <c r="R110" s="57">
        <f t="shared" si="40"/>
        <v>0</v>
      </c>
      <c r="S110" s="136"/>
      <c r="T110" s="222"/>
      <c r="U110" s="57">
        <f t="shared" si="41"/>
        <v>0</v>
      </c>
      <c r="V110" s="136"/>
      <c r="W110" s="57">
        <f t="shared" si="42"/>
        <v>0</v>
      </c>
      <c r="X110" s="136"/>
    </row>
    <row r="111" spans="1:27" s="6" customFormat="1" ht="15.75" thickBot="1">
      <c r="A111" s="128"/>
      <c r="B111" s="233"/>
      <c r="C111" s="128" t="s">
        <v>21</v>
      </c>
      <c r="D111" s="57">
        <f t="shared" si="34"/>
        <v>0</v>
      </c>
      <c r="E111" s="57">
        <f t="shared" si="35"/>
        <v>0</v>
      </c>
      <c r="F111" s="122"/>
      <c r="G111" s="122"/>
      <c r="H111" s="57">
        <f t="shared" si="36"/>
        <v>0</v>
      </c>
      <c r="I111" s="122"/>
      <c r="J111" s="122"/>
      <c r="K111" s="57">
        <f t="shared" si="37"/>
        <v>0</v>
      </c>
      <c r="L111" s="122"/>
      <c r="M111" s="122"/>
      <c r="N111" s="57">
        <f t="shared" si="38"/>
        <v>0</v>
      </c>
      <c r="O111" s="230"/>
      <c r="P111" s="57">
        <f t="shared" si="39"/>
        <v>0</v>
      </c>
      <c r="Q111" s="202"/>
      <c r="R111" s="57">
        <f t="shared" si="40"/>
        <v>0</v>
      </c>
      <c r="S111" s="231"/>
      <c r="T111" s="232"/>
      <c r="U111" s="57">
        <f t="shared" si="41"/>
        <v>0</v>
      </c>
      <c r="V111" s="231"/>
      <c r="W111" s="57">
        <f t="shared" si="42"/>
        <v>0</v>
      </c>
      <c r="X111" s="231"/>
    </row>
    <row r="112" spans="1:27" s="6" customFormat="1" ht="16.5" thickBot="1">
      <c r="A112" s="115" t="s">
        <v>126</v>
      </c>
      <c r="B112" s="3" t="s">
        <v>127</v>
      </c>
      <c r="C112" s="115" t="s">
        <v>51</v>
      </c>
      <c r="D112" s="57">
        <f t="shared" si="34"/>
        <v>0</v>
      </c>
      <c r="E112" s="57">
        <f t="shared" si="35"/>
        <v>0</v>
      </c>
      <c r="F112" s="122"/>
      <c r="G112" s="122"/>
      <c r="H112" s="57">
        <f t="shared" si="36"/>
        <v>0</v>
      </c>
      <c r="I112" s="122"/>
      <c r="J112" s="122"/>
      <c r="K112" s="57">
        <f t="shared" si="37"/>
        <v>0</v>
      </c>
      <c r="L112" s="122"/>
      <c r="M112" s="122"/>
      <c r="N112" s="57">
        <f t="shared" si="38"/>
        <v>0</v>
      </c>
      <c r="O112" s="122"/>
      <c r="P112" s="57">
        <f t="shared" si="39"/>
        <v>0</v>
      </c>
      <c r="Q112" s="189"/>
      <c r="R112" s="57">
        <f t="shared" si="40"/>
        <v>0</v>
      </c>
      <c r="S112" s="136"/>
      <c r="T112" s="222"/>
      <c r="U112" s="57">
        <f t="shared" si="41"/>
        <v>0</v>
      </c>
      <c r="V112" s="136"/>
      <c r="W112" s="57">
        <f t="shared" si="42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57">
        <f t="shared" si="34"/>
        <v>0</v>
      </c>
      <c r="E113" s="57">
        <f t="shared" si="35"/>
        <v>0</v>
      </c>
      <c r="F113" s="122"/>
      <c r="G113" s="122"/>
      <c r="H113" s="57">
        <f t="shared" si="36"/>
        <v>0</v>
      </c>
      <c r="I113" s="122"/>
      <c r="J113" s="122"/>
      <c r="K113" s="57">
        <f t="shared" si="37"/>
        <v>0</v>
      </c>
      <c r="L113" s="122"/>
      <c r="M113" s="122"/>
      <c r="N113" s="57">
        <f t="shared" si="38"/>
        <v>0</v>
      </c>
      <c r="O113" s="120"/>
      <c r="P113" s="57">
        <f t="shared" si="39"/>
        <v>0</v>
      </c>
      <c r="Q113" s="190"/>
      <c r="R113" s="57">
        <f t="shared" si="40"/>
        <v>0</v>
      </c>
      <c r="S113" s="143"/>
      <c r="T113" s="187"/>
      <c r="U113" s="57">
        <f t="shared" si="41"/>
        <v>0</v>
      </c>
      <c r="V113" s="143"/>
      <c r="W113" s="57">
        <f t="shared" si="42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57">
        <f t="shared" si="34"/>
        <v>0</v>
      </c>
      <c r="E114" s="57">
        <f t="shared" si="35"/>
        <v>0</v>
      </c>
      <c r="F114" s="122"/>
      <c r="G114" s="122"/>
      <c r="H114" s="57">
        <f t="shared" si="36"/>
        <v>0</v>
      </c>
      <c r="I114" s="122"/>
      <c r="J114" s="122"/>
      <c r="K114" s="57">
        <f t="shared" si="37"/>
        <v>0</v>
      </c>
      <c r="L114" s="122"/>
      <c r="M114" s="122"/>
      <c r="N114" s="57">
        <f t="shared" si="38"/>
        <v>0</v>
      </c>
      <c r="O114" s="228"/>
      <c r="P114" s="57">
        <f t="shared" si="39"/>
        <v>0</v>
      </c>
      <c r="Q114" s="200"/>
      <c r="R114" s="57">
        <f t="shared" si="40"/>
        <v>0</v>
      </c>
      <c r="S114" s="54"/>
      <c r="T114" s="181"/>
      <c r="U114" s="57">
        <f t="shared" si="41"/>
        <v>0</v>
      </c>
      <c r="V114" s="54"/>
      <c r="W114" s="57">
        <f t="shared" si="42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57">
        <f t="shared" si="34"/>
        <v>0</v>
      </c>
      <c r="E115" s="57">
        <f t="shared" si="35"/>
        <v>0</v>
      </c>
      <c r="F115" s="122"/>
      <c r="G115" s="122"/>
      <c r="H115" s="57">
        <f t="shared" si="36"/>
        <v>0</v>
      </c>
      <c r="I115" s="122"/>
      <c r="J115" s="122"/>
      <c r="K115" s="57">
        <f t="shared" si="37"/>
        <v>0</v>
      </c>
      <c r="L115" s="122"/>
      <c r="M115" s="122"/>
      <c r="N115" s="57">
        <f t="shared" si="38"/>
        <v>0</v>
      </c>
      <c r="O115" s="230"/>
      <c r="P115" s="57">
        <f t="shared" si="39"/>
        <v>0</v>
      </c>
      <c r="Q115" s="202"/>
      <c r="R115" s="57">
        <f t="shared" si="40"/>
        <v>0</v>
      </c>
      <c r="S115" s="231"/>
      <c r="T115" s="232"/>
      <c r="U115" s="57">
        <f t="shared" si="41"/>
        <v>0</v>
      </c>
      <c r="V115" s="231"/>
      <c r="W115" s="57">
        <f t="shared" si="42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57">
        <f t="shared" si="34"/>
        <v>0</v>
      </c>
      <c r="E116" s="57">
        <f t="shared" si="35"/>
        <v>0</v>
      </c>
      <c r="F116" s="122"/>
      <c r="G116" s="122"/>
      <c r="H116" s="57">
        <f t="shared" si="36"/>
        <v>0</v>
      </c>
      <c r="I116" s="122"/>
      <c r="J116" s="122"/>
      <c r="K116" s="57">
        <f t="shared" si="37"/>
        <v>0</v>
      </c>
      <c r="L116" s="122"/>
      <c r="M116" s="122"/>
      <c r="N116" s="57">
        <f t="shared" si="38"/>
        <v>0</v>
      </c>
      <c r="O116" s="122"/>
      <c r="P116" s="57">
        <f t="shared" si="39"/>
        <v>0</v>
      </c>
      <c r="Q116" s="189"/>
      <c r="R116" s="57">
        <f t="shared" si="40"/>
        <v>0</v>
      </c>
      <c r="S116" s="136"/>
      <c r="T116" s="222"/>
      <c r="U116" s="57">
        <f t="shared" si="41"/>
        <v>0</v>
      </c>
      <c r="V116" s="136"/>
      <c r="W116" s="57">
        <f t="shared" si="42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57">
        <f t="shared" si="34"/>
        <v>0</v>
      </c>
      <c r="E117" s="57">
        <f t="shared" si="35"/>
        <v>0</v>
      </c>
      <c r="F117" s="122"/>
      <c r="G117" s="122"/>
      <c r="H117" s="57">
        <f t="shared" si="36"/>
        <v>0</v>
      </c>
      <c r="I117" s="122"/>
      <c r="J117" s="122"/>
      <c r="K117" s="57">
        <f t="shared" si="37"/>
        <v>0</v>
      </c>
      <c r="L117" s="122"/>
      <c r="M117" s="122"/>
      <c r="N117" s="57">
        <f t="shared" si="38"/>
        <v>0</v>
      </c>
      <c r="O117" s="230"/>
      <c r="P117" s="57">
        <f t="shared" si="39"/>
        <v>0</v>
      </c>
      <c r="Q117" s="202"/>
      <c r="R117" s="57">
        <f t="shared" si="40"/>
        <v>0</v>
      </c>
      <c r="S117" s="231"/>
      <c r="T117" s="232"/>
      <c r="U117" s="57">
        <f t="shared" si="41"/>
        <v>0</v>
      </c>
      <c r="V117" s="231"/>
      <c r="W117" s="57">
        <f t="shared" si="42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57">
        <f t="shared" si="34"/>
        <v>0</v>
      </c>
      <c r="E118" s="57">
        <f t="shared" si="35"/>
        <v>0</v>
      </c>
      <c r="F118" s="122"/>
      <c r="G118" s="122"/>
      <c r="H118" s="57">
        <f t="shared" si="36"/>
        <v>0</v>
      </c>
      <c r="I118" s="122"/>
      <c r="J118" s="122"/>
      <c r="K118" s="57">
        <f t="shared" si="37"/>
        <v>0</v>
      </c>
      <c r="L118" s="122"/>
      <c r="M118" s="122"/>
      <c r="N118" s="57">
        <f t="shared" si="38"/>
        <v>0</v>
      </c>
      <c r="O118" s="122"/>
      <c r="P118" s="57">
        <f t="shared" si="39"/>
        <v>0</v>
      </c>
      <c r="Q118" s="189"/>
      <c r="R118" s="57">
        <f t="shared" si="40"/>
        <v>0</v>
      </c>
      <c r="S118" s="136"/>
      <c r="T118" s="222"/>
      <c r="U118" s="57">
        <f t="shared" si="41"/>
        <v>0</v>
      </c>
      <c r="V118" s="136"/>
      <c r="W118" s="57">
        <f t="shared" si="42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57">
        <f t="shared" si="34"/>
        <v>0</v>
      </c>
      <c r="E119" s="57">
        <f t="shared" si="35"/>
        <v>0</v>
      </c>
      <c r="F119" s="122"/>
      <c r="G119" s="122"/>
      <c r="H119" s="57">
        <f t="shared" si="36"/>
        <v>0</v>
      </c>
      <c r="I119" s="122"/>
      <c r="J119" s="122"/>
      <c r="K119" s="57">
        <f t="shared" si="37"/>
        <v>0</v>
      </c>
      <c r="L119" s="122"/>
      <c r="M119" s="122"/>
      <c r="N119" s="57">
        <f t="shared" si="38"/>
        <v>0</v>
      </c>
      <c r="O119" s="230"/>
      <c r="P119" s="57">
        <f t="shared" si="39"/>
        <v>0</v>
      </c>
      <c r="Q119" s="202"/>
      <c r="R119" s="57">
        <f t="shared" si="40"/>
        <v>0</v>
      </c>
      <c r="S119" s="231"/>
      <c r="T119" s="232"/>
      <c r="U119" s="57">
        <f t="shared" si="41"/>
        <v>0</v>
      </c>
      <c r="V119" s="231"/>
      <c r="W119" s="57">
        <f t="shared" si="42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57">
        <f t="shared" si="34"/>
        <v>0</v>
      </c>
      <c r="E120" s="57">
        <f t="shared" si="35"/>
        <v>0</v>
      </c>
      <c r="F120" s="122"/>
      <c r="G120" s="122"/>
      <c r="H120" s="57">
        <f t="shared" si="36"/>
        <v>0</v>
      </c>
      <c r="I120" s="122">
        <v>0</v>
      </c>
      <c r="J120" s="122"/>
      <c r="K120" s="57">
        <f t="shared" si="37"/>
        <v>0</v>
      </c>
      <c r="L120" s="122"/>
      <c r="M120" s="122"/>
      <c r="N120" s="57">
        <f t="shared" si="38"/>
        <v>0</v>
      </c>
      <c r="O120" s="122"/>
      <c r="P120" s="57">
        <f t="shared" si="39"/>
        <v>0</v>
      </c>
      <c r="Q120" s="238"/>
      <c r="R120" s="57">
        <f t="shared" si="40"/>
        <v>0</v>
      </c>
      <c r="S120" s="136"/>
      <c r="T120" s="239"/>
      <c r="U120" s="57">
        <f t="shared" si="41"/>
        <v>0</v>
      </c>
      <c r="V120" s="123"/>
      <c r="W120" s="57">
        <f t="shared" si="42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57">
        <f t="shared" si="34"/>
        <v>0</v>
      </c>
      <c r="E121" s="57">
        <f t="shared" si="35"/>
        <v>0</v>
      </c>
      <c r="F121" s="122"/>
      <c r="G121" s="122"/>
      <c r="H121" s="57">
        <f t="shared" si="36"/>
        <v>0</v>
      </c>
      <c r="I121" s="122"/>
      <c r="J121" s="122"/>
      <c r="K121" s="57">
        <f t="shared" si="37"/>
        <v>0</v>
      </c>
      <c r="L121" s="122"/>
      <c r="M121" s="122"/>
      <c r="N121" s="57">
        <f t="shared" si="38"/>
        <v>0</v>
      </c>
      <c r="O121" s="228"/>
      <c r="P121" s="57">
        <f t="shared" si="39"/>
        <v>0</v>
      </c>
      <c r="Q121" s="241"/>
      <c r="R121" s="57">
        <f t="shared" si="40"/>
        <v>0</v>
      </c>
      <c r="S121" s="54"/>
      <c r="T121" s="228"/>
      <c r="U121" s="57">
        <f t="shared" si="41"/>
        <v>0</v>
      </c>
      <c r="V121" s="53"/>
      <c r="W121" s="57">
        <f t="shared" si="42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57">
        <f t="shared" si="34"/>
        <v>0</v>
      </c>
      <c r="E122" s="57">
        <f t="shared" si="35"/>
        <v>0</v>
      </c>
      <c r="F122" s="122"/>
      <c r="G122" s="122"/>
      <c r="H122" s="57">
        <f t="shared" si="36"/>
        <v>0</v>
      </c>
      <c r="I122" s="122"/>
      <c r="J122" s="122"/>
      <c r="K122" s="57">
        <f t="shared" si="37"/>
        <v>0</v>
      </c>
      <c r="L122" s="122"/>
      <c r="M122" s="122"/>
      <c r="N122" s="57">
        <f t="shared" si="38"/>
        <v>0</v>
      </c>
      <c r="O122" s="137"/>
      <c r="P122" s="57">
        <f t="shared" si="39"/>
        <v>0</v>
      </c>
      <c r="Q122" s="145"/>
      <c r="R122" s="57">
        <f t="shared" si="40"/>
        <v>0</v>
      </c>
      <c r="S122" s="161"/>
      <c r="T122" s="137"/>
      <c r="U122" s="57">
        <f t="shared" si="41"/>
        <v>0</v>
      </c>
      <c r="V122" s="138"/>
      <c r="W122" s="57">
        <f t="shared" si="42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57">
        <f t="shared" si="34"/>
        <v>0</v>
      </c>
      <c r="E123" s="57">
        <f t="shared" si="35"/>
        <v>0</v>
      </c>
      <c r="F123" s="122"/>
      <c r="G123" s="122"/>
      <c r="H123" s="57">
        <f t="shared" si="36"/>
        <v>0</v>
      </c>
      <c r="I123" s="122"/>
      <c r="J123" s="122"/>
      <c r="K123" s="57">
        <f t="shared" si="37"/>
        <v>0</v>
      </c>
      <c r="L123" s="122"/>
      <c r="M123" s="122"/>
      <c r="N123" s="57">
        <f t="shared" si="38"/>
        <v>0</v>
      </c>
      <c r="O123" s="208"/>
      <c r="P123" s="57">
        <f t="shared" si="39"/>
        <v>0</v>
      </c>
      <c r="Q123" s="245"/>
      <c r="R123" s="57">
        <f t="shared" si="40"/>
        <v>0</v>
      </c>
      <c r="S123" s="246"/>
      <c r="T123" s="208"/>
      <c r="U123" s="57">
        <f t="shared" si="41"/>
        <v>0</v>
      </c>
      <c r="V123" s="79"/>
      <c r="W123" s="57">
        <f t="shared" si="42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57">
        <f t="shared" si="34"/>
        <v>0</v>
      </c>
      <c r="E124" s="57">
        <f t="shared" si="35"/>
        <v>0</v>
      </c>
      <c r="F124" s="122"/>
      <c r="G124" s="122"/>
      <c r="H124" s="57">
        <f t="shared" si="36"/>
        <v>0</v>
      </c>
      <c r="I124" s="122"/>
      <c r="J124" s="122"/>
      <c r="K124" s="57">
        <f t="shared" si="37"/>
        <v>0</v>
      </c>
      <c r="L124" s="122"/>
      <c r="M124" s="122"/>
      <c r="N124" s="57">
        <f t="shared" si="38"/>
        <v>0</v>
      </c>
      <c r="O124" s="137"/>
      <c r="P124" s="57">
        <f t="shared" si="39"/>
        <v>0</v>
      </c>
      <c r="Q124" s="145"/>
      <c r="R124" s="57">
        <f t="shared" si="40"/>
        <v>0</v>
      </c>
      <c r="S124" s="161"/>
      <c r="T124" s="137"/>
      <c r="U124" s="57">
        <f t="shared" si="41"/>
        <v>0</v>
      </c>
      <c r="V124" s="138"/>
      <c r="W124" s="57">
        <f t="shared" si="42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57">
        <f t="shared" si="34"/>
        <v>0</v>
      </c>
      <c r="E125" s="57">
        <f t="shared" si="35"/>
        <v>0</v>
      </c>
      <c r="F125" s="122"/>
      <c r="G125" s="122"/>
      <c r="H125" s="57">
        <f t="shared" si="36"/>
        <v>0</v>
      </c>
      <c r="I125" s="122">
        <v>0</v>
      </c>
      <c r="J125" s="122"/>
      <c r="K125" s="57">
        <f t="shared" si="37"/>
        <v>0</v>
      </c>
      <c r="L125" s="122"/>
      <c r="M125" s="122"/>
      <c r="N125" s="57">
        <f t="shared" si="38"/>
        <v>0</v>
      </c>
      <c r="O125" s="137"/>
      <c r="P125" s="57">
        <f t="shared" si="39"/>
        <v>0</v>
      </c>
      <c r="Q125" s="145"/>
      <c r="R125" s="57">
        <f t="shared" si="40"/>
        <v>0</v>
      </c>
      <c r="S125" s="161"/>
      <c r="T125" s="137"/>
      <c r="U125" s="57">
        <f t="shared" si="41"/>
        <v>0</v>
      </c>
      <c r="V125" s="138"/>
      <c r="W125" s="57">
        <f t="shared" si="42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57">
        <f t="shared" si="34"/>
        <v>0</v>
      </c>
      <c r="E126" s="57">
        <f t="shared" si="35"/>
        <v>0</v>
      </c>
      <c r="F126" s="122"/>
      <c r="G126" s="122"/>
      <c r="H126" s="57">
        <f t="shared" si="36"/>
        <v>0</v>
      </c>
      <c r="I126" s="122">
        <v>0</v>
      </c>
      <c r="J126" s="122"/>
      <c r="K126" s="57">
        <f t="shared" si="37"/>
        <v>0</v>
      </c>
      <c r="L126" s="122"/>
      <c r="M126" s="122"/>
      <c r="N126" s="57">
        <f t="shared" si="38"/>
        <v>0</v>
      </c>
      <c r="O126" s="208"/>
      <c r="P126" s="57">
        <f t="shared" si="39"/>
        <v>0</v>
      </c>
      <c r="Q126" s="245"/>
      <c r="R126" s="57">
        <f t="shared" si="40"/>
        <v>0</v>
      </c>
      <c r="S126" s="246"/>
      <c r="T126" s="208"/>
      <c r="U126" s="57">
        <f t="shared" si="41"/>
        <v>0</v>
      </c>
      <c r="V126" s="79"/>
      <c r="W126" s="57">
        <f t="shared" si="42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57">
        <f t="shared" si="34"/>
        <v>0</v>
      </c>
      <c r="E127" s="57">
        <f t="shared" si="35"/>
        <v>0</v>
      </c>
      <c r="F127" s="122"/>
      <c r="G127" s="122"/>
      <c r="H127" s="57">
        <f t="shared" si="36"/>
        <v>0</v>
      </c>
      <c r="I127" s="122">
        <v>0</v>
      </c>
      <c r="J127" s="122"/>
      <c r="K127" s="57">
        <f t="shared" si="37"/>
        <v>0</v>
      </c>
      <c r="L127" s="122"/>
      <c r="M127" s="122"/>
      <c r="N127" s="57">
        <f t="shared" si="38"/>
        <v>0</v>
      </c>
      <c r="O127" s="123"/>
      <c r="P127" s="57">
        <f t="shared" si="39"/>
        <v>0</v>
      </c>
      <c r="Q127" s="248"/>
      <c r="R127" s="57">
        <f t="shared" si="40"/>
        <v>0</v>
      </c>
      <c r="S127" s="136"/>
      <c r="T127" s="123"/>
      <c r="U127" s="57">
        <f t="shared" si="41"/>
        <v>0</v>
      </c>
      <c r="V127" s="123"/>
      <c r="W127" s="57">
        <f t="shared" si="42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57">
        <f>D130+D132+D134+D136</f>
        <v>0</v>
      </c>
      <c r="E128" s="57">
        <f>E130+E132+E134+E136</f>
        <v>0</v>
      </c>
      <c r="F128" s="57">
        <f>F130+F132+F134+F136</f>
        <v>0</v>
      </c>
      <c r="G128" s="57">
        <f>G130+G132+G134+G136</f>
        <v>0</v>
      </c>
      <c r="H128" s="57">
        <f t="shared" si="36"/>
        <v>0</v>
      </c>
      <c r="I128" s="57">
        <f>I130+I132+I134+I136</f>
        <v>0</v>
      </c>
      <c r="J128" s="57">
        <f>J130+J132+J134+J136</f>
        <v>0</v>
      </c>
      <c r="K128" s="57">
        <f t="shared" si="37"/>
        <v>0</v>
      </c>
      <c r="L128" s="57">
        <f>L130+L132+L134+L136</f>
        <v>0</v>
      </c>
      <c r="M128" s="57">
        <f>M130+M132+M134+M136</f>
        <v>0</v>
      </c>
      <c r="N128" s="57">
        <f t="shared" si="38"/>
        <v>0</v>
      </c>
      <c r="O128" s="57">
        <f>O130+O132+O134+O136</f>
        <v>0</v>
      </c>
      <c r="P128" s="57">
        <f t="shared" si="39"/>
        <v>0</v>
      </c>
      <c r="Q128" s="57">
        <f>Q130+Q132+Q134+Q136</f>
        <v>0</v>
      </c>
      <c r="R128" s="57">
        <f t="shared" si="40"/>
        <v>0</v>
      </c>
      <c r="S128" s="57">
        <f>S130+S132+S134+S136</f>
        <v>0</v>
      </c>
      <c r="T128" s="57">
        <f>T130+T132+T134+T136</f>
        <v>0</v>
      </c>
      <c r="U128" s="57">
        <f t="shared" si="41"/>
        <v>0</v>
      </c>
      <c r="V128" s="57">
        <f>V130+V132+V134+V136</f>
        <v>0</v>
      </c>
      <c r="W128" s="57">
        <f t="shared" si="42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57">
        <f t="shared" ref="D129:D138" si="43">E129+H129+K129+N129+P129+R129+U129+W129</f>
        <v>0</v>
      </c>
      <c r="E129" s="57">
        <f t="shared" ref="E129:E138" si="44">F129+G129</f>
        <v>0</v>
      </c>
      <c r="F129" s="122"/>
      <c r="G129" s="122"/>
      <c r="H129" s="57">
        <f t="shared" si="36"/>
        <v>0</v>
      </c>
      <c r="I129" s="122"/>
      <c r="J129" s="122"/>
      <c r="K129" s="57">
        <f t="shared" si="37"/>
        <v>0</v>
      </c>
      <c r="L129" s="122"/>
      <c r="M129" s="122"/>
      <c r="N129" s="57">
        <f t="shared" si="38"/>
        <v>0</v>
      </c>
      <c r="O129" s="228"/>
      <c r="P129" s="57">
        <f t="shared" si="39"/>
        <v>0</v>
      </c>
      <c r="Q129" s="241"/>
      <c r="R129" s="57">
        <f t="shared" si="40"/>
        <v>0</v>
      </c>
      <c r="S129" s="54"/>
      <c r="T129" s="228"/>
      <c r="U129" s="57">
        <f t="shared" si="41"/>
        <v>0</v>
      </c>
      <c r="V129" s="53"/>
      <c r="W129" s="57">
        <f t="shared" si="42"/>
        <v>0</v>
      </c>
      <c r="X129" s="53"/>
    </row>
    <row r="130" spans="1:256" ht="16.5" thickBot="1">
      <c r="A130" s="56"/>
      <c r="B130" s="55"/>
      <c r="C130" s="56" t="s">
        <v>21</v>
      </c>
      <c r="D130" s="57">
        <f t="shared" si="43"/>
        <v>0</v>
      </c>
      <c r="E130" s="57">
        <f t="shared" si="44"/>
        <v>0</v>
      </c>
      <c r="F130" s="122"/>
      <c r="G130" s="122"/>
      <c r="H130" s="57">
        <f t="shared" si="36"/>
        <v>0</v>
      </c>
      <c r="I130" s="122"/>
      <c r="J130" s="122"/>
      <c r="K130" s="57">
        <f t="shared" si="37"/>
        <v>0</v>
      </c>
      <c r="L130" s="122"/>
      <c r="M130" s="122"/>
      <c r="N130" s="57">
        <f t="shared" si="38"/>
        <v>0</v>
      </c>
      <c r="O130" s="64"/>
      <c r="P130" s="57">
        <f t="shared" si="39"/>
        <v>0</v>
      </c>
      <c r="Q130" s="249"/>
      <c r="R130" s="57">
        <f t="shared" si="40"/>
        <v>0</v>
      </c>
      <c r="S130" s="59"/>
      <c r="T130" s="64"/>
      <c r="U130" s="57">
        <f t="shared" si="41"/>
        <v>0</v>
      </c>
      <c r="V130" s="57"/>
      <c r="W130" s="57">
        <f t="shared" si="42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57">
        <f t="shared" si="43"/>
        <v>0</v>
      </c>
      <c r="E131" s="57">
        <f t="shared" si="44"/>
        <v>0</v>
      </c>
      <c r="F131" s="122"/>
      <c r="G131" s="122"/>
      <c r="H131" s="57">
        <f t="shared" si="36"/>
        <v>0</v>
      </c>
      <c r="I131" s="122"/>
      <c r="J131" s="122"/>
      <c r="K131" s="57">
        <f t="shared" si="37"/>
        <v>0</v>
      </c>
      <c r="L131" s="122"/>
      <c r="M131" s="122"/>
      <c r="N131" s="57">
        <f t="shared" si="38"/>
        <v>0</v>
      </c>
      <c r="O131" s="64"/>
      <c r="P131" s="57">
        <f t="shared" si="39"/>
        <v>0</v>
      </c>
      <c r="Q131" s="249"/>
      <c r="R131" s="57">
        <f t="shared" si="40"/>
        <v>0</v>
      </c>
      <c r="S131" s="59"/>
      <c r="T131" s="64"/>
      <c r="U131" s="57">
        <f t="shared" si="41"/>
        <v>0</v>
      </c>
      <c r="V131" s="57"/>
      <c r="W131" s="57">
        <f t="shared" si="42"/>
        <v>0</v>
      </c>
      <c r="X131" s="57"/>
    </row>
    <row r="132" spans="1:256" ht="16.5" thickBot="1">
      <c r="A132" s="56"/>
      <c r="B132" s="55"/>
      <c r="C132" s="56" t="s">
        <v>155</v>
      </c>
      <c r="D132" s="57">
        <f t="shared" si="43"/>
        <v>0</v>
      </c>
      <c r="E132" s="57">
        <f t="shared" si="44"/>
        <v>0</v>
      </c>
      <c r="F132" s="122"/>
      <c r="G132" s="122"/>
      <c r="H132" s="57">
        <f t="shared" si="36"/>
        <v>0</v>
      </c>
      <c r="I132" s="122"/>
      <c r="J132" s="122"/>
      <c r="K132" s="57">
        <f t="shared" si="37"/>
        <v>0</v>
      </c>
      <c r="L132" s="122"/>
      <c r="M132" s="122"/>
      <c r="N132" s="57">
        <f t="shared" si="38"/>
        <v>0</v>
      </c>
      <c r="O132" s="64"/>
      <c r="P132" s="57">
        <f t="shared" si="39"/>
        <v>0</v>
      </c>
      <c r="Q132" s="249"/>
      <c r="R132" s="57">
        <f t="shared" si="40"/>
        <v>0</v>
      </c>
      <c r="S132" s="59"/>
      <c r="T132" s="64"/>
      <c r="U132" s="57">
        <f t="shared" si="41"/>
        <v>0</v>
      </c>
      <c r="V132" s="57"/>
      <c r="W132" s="57">
        <f t="shared" si="42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57">
        <f t="shared" si="43"/>
        <v>0</v>
      </c>
      <c r="E133" s="57">
        <f t="shared" si="44"/>
        <v>0</v>
      </c>
      <c r="F133" s="122"/>
      <c r="G133" s="122"/>
      <c r="H133" s="57">
        <f t="shared" si="36"/>
        <v>0</v>
      </c>
      <c r="I133" s="122"/>
      <c r="J133" s="122"/>
      <c r="K133" s="57">
        <f t="shared" si="37"/>
        <v>0</v>
      </c>
      <c r="L133" s="122"/>
      <c r="M133" s="122"/>
      <c r="N133" s="57">
        <f t="shared" si="38"/>
        <v>0</v>
      </c>
      <c r="O133" s="64"/>
      <c r="P133" s="57">
        <f t="shared" si="39"/>
        <v>0</v>
      </c>
      <c r="Q133" s="249"/>
      <c r="R133" s="57">
        <f t="shared" si="40"/>
        <v>0</v>
      </c>
      <c r="S133" s="59"/>
      <c r="T133" s="64"/>
      <c r="U133" s="57">
        <f t="shared" si="41"/>
        <v>0</v>
      </c>
      <c r="V133" s="57"/>
      <c r="W133" s="57">
        <f t="shared" si="42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57">
        <f t="shared" si="43"/>
        <v>0</v>
      </c>
      <c r="E134" s="57">
        <f t="shared" si="44"/>
        <v>0</v>
      </c>
      <c r="F134" s="122"/>
      <c r="G134" s="122"/>
      <c r="H134" s="57">
        <f t="shared" si="36"/>
        <v>0</v>
      </c>
      <c r="I134" s="122"/>
      <c r="J134" s="122"/>
      <c r="K134" s="57">
        <f t="shared" si="37"/>
        <v>0</v>
      </c>
      <c r="L134" s="122"/>
      <c r="M134" s="122"/>
      <c r="N134" s="57">
        <f t="shared" si="38"/>
        <v>0</v>
      </c>
      <c r="O134" s="64"/>
      <c r="P134" s="57">
        <f t="shared" si="39"/>
        <v>0</v>
      </c>
      <c r="Q134" s="249"/>
      <c r="R134" s="57">
        <f t="shared" si="40"/>
        <v>0</v>
      </c>
      <c r="S134" s="59"/>
      <c r="T134" s="64"/>
      <c r="U134" s="57">
        <f t="shared" si="41"/>
        <v>0</v>
      </c>
      <c r="V134" s="57"/>
      <c r="W134" s="57">
        <f t="shared" si="42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57">
        <f t="shared" si="43"/>
        <v>0</v>
      </c>
      <c r="E135" s="57">
        <f t="shared" si="44"/>
        <v>0</v>
      </c>
      <c r="F135" s="122"/>
      <c r="G135" s="122"/>
      <c r="H135" s="57">
        <f t="shared" si="36"/>
        <v>0</v>
      </c>
      <c r="I135" s="122"/>
      <c r="J135" s="122"/>
      <c r="K135" s="57">
        <f t="shared" si="37"/>
        <v>0</v>
      </c>
      <c r="L135" s="122"/>
      <c r="M135" s="122"/>
      <c r="N135" s="57">
        <f t="shared" si="38"/>
        <v>0</v>
      </c>
      <c r="O135" s="64"/>
      <c r="P135" s="57">
        <f t="shared" si="39"/>
        <v>0</v>
      </c>
      <c r="Q135" s="249"/>
      <c r="R135" s="57">
        <f t="shared" si="40"/>
        <v>0</v>
      </c>
      <c r="S135" s="59"/>
      <c r="T135" s="64"/>
      <c r="U135" s="57">
        <f t="shared" si="41"/>
        <v>0</v>
      </c>
      <c r="V135" s="57"/>
      <c r="W135" s="57">
        <f t="shared" si="42"/>
        <v>0</v>
      </c>
      <c r="X135" s="57"/>
    </row>
    <row r="136" spans="1:256" ht="16.5" thickBot="1">
      <c r="A136" s="71"/>
      <c r="B136" s="251"/>
      <c r="C136" s="71" t="s">
        <v>21</v>
      </c>
      <c r="D136" s="72">
        <f t="shared" si="43"/>
        <v>0</v>
      </c>
      <c r="E136" s="72">
        <f t="shared" si="44"/>
        <v>0</v>
      </c>
      <c r="F136" s="137"/>
      <c r="G136" s="137"/>
      <c r="H136" s="72">
        <f t="shared" si="36"/>
        <v>0</v>
      </c>
      <c r="I136" s="137"/>
      <c r="J136" s="137"/>
      <c r="K136" s="57">
        <f t="shared" si="37"/>
        <v>0</v>
      </c>
      <c r="L136" s="122"/>
      <c r="M136" s="122"/>
      <c r="N136" s="57">
        <f t="shared" si="38"/>
        <v>0</v>
      </c>
      <c r="O136" s="130"/>
      <c r="P136" s="57">
        <f t="shared" si="39"/>
        <v>0</v>
      </c>
      <c r="Q136" s="252"/>
      <c r="R136" s="57">
        <f t="shared" si="40"/>
        <v>0</v>
      </c>
      <c r="S136" s="129"/>
      <c r="T136" s="130"/>
      <c r="U136" s="57">
        <f t="shared" si="41"/>
        <v>0</v>
      </c>
      <c r="V136" s="72"/>
      <c r="W136" s="57">
        <f t="shared" si="42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18">
        <f t="shared" si="43"/>
        <v>0</v>
      </c>
      <c r="E137" s="18">
        <f t="shared" si="44"/>
        <v>0</v>
      </c>
      <c r="F137" s="21"/>
      <c r="G137" s="21"/>
      <c r="H137" s="18">
        <f t="shared" si="36"/>
        <v>0</v>
      </c>
      <c r="I137" s="21"/>
      <c r="J137" s="21"/>
      <c r="K137" s="59">
        <f t="shared" si="37"/>
        <v>0</v>
      </c>
      <c r="L137" s="122"/>
      <c r="M137" s="122"/>
      <c r="N137" s="57">
        <f t="shared" si="38"/>
        <v>0</v>
      </c>
      <c r="O137" s="115"/>
      <c r="P137" s="57">
        <f t="shared" si="39"/>
        <v>0</v>
      </c>
      <c r="Q137" s="189"/>
      <c r="R137" s="57">
        <f t="shared" si="40"/>
        <v>0</v>
      </c>
      <c r="S137" s="221"/>
      <c r="T137" s="115"/>
      <c r="U137" s="57">
        <f t="shared" si="41"/>
        <v>0</v>
      </c>
      <c r="V137" s="253"/>
      <c r="W137" s="57">
        <f t="shared" si="42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18">
        <f t="shared" si="43"/>
        <v>0</v>
      </c>
      <c r="E138" s="18">
        <f t="shared" si="44"/>
        <v>0</v>
      </c>
      <c r="F138" s="21"/>
      <c r="G138" s="21"/>
      <c r="H138" s="18">
        <f t="shared" si="36"/>
        <v>0</v>
      </c>
      <c r="I138" s="21"/>
      <c r="J138" s="21"/>
      <c r="K138" s="59">
        <f t="shared" si="37"/>
        <v>0</v>
      </c>
      <c r="L138" s="122"/>
      <c r="M138" s="122"/>
      <c r="N138" s="57">
        <f t="shared" si="38"/>
        <v>0</v>
      </c>
      <c r="O138" s="119"/>
      <c r="P138" s="57">
        <f t="shared" si="39"/>
        <v>0</v>
      </c>
      <c r="Q138" s="190"/>
      <c r="R138" s="57">
        <f t="shared" si="40"/>
        <v>0</v>
      </c>
      <c r="S138" s="229"/>
      <c r="T138" s="119"/>
      <c r="U138" s="57">
        <f t="shared" si="41"/>
        <v>0</v>
      </c>
      <c r="V138" s="237"/>
      <c r="W138" s="57">
        <f t="shared" si="42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18">
        <f>H139+K139</f>
        <v>0</v>
      </c>
      <c r="E139" s="18">
        <f t="shared" ref="E139:G140" si="45">E141+E143+E145+E147+E149+E151+E153+E155</f>
        <v>0</v>
      </c>
      <c r="F139" s="18">
        <f t="shared" si="45"/>
        <v>0</v>
      </c>
      <c r="G139" s="18">
        <f t="shared" si="45"/>
        <v>0</v>
      </c>
      <c r="H139" s="18">
        <v>0</v>
      </c>
      <c r="I139" s="18"/>
      <c r="J139" s="18">
        <f t="shared" ref="J139:X140" si="46">J141+J143+J145+J147+J149+J151+J153+J155</f>
        <v>0</v>
      </c>
      <c r="K139" s="54">
        <f t="shared" si="46"/>
        <v>0</v>
      </c>
      <c r="L139" s="53">
        <f t="shared" si="46"/>
        <v>0</v>
      </c>
      <c r="M139" s="53">
        <f t="shared" si="46"/>
        <v>0</v>
      </c>
      <c r="N139" s="53">
        <f t="shared" si="46"/>
        <v>0</v>
      </c>
      <c r="O139" s="53">
        <f t="shared" si="46"/>
        <v>0</v>
      </c>
      <c r="P139" s="53">
        <f t="shared" si="46"/>
        <v>0</v>
      </c>
      <c r="Q139" s="53">
        <f t="shared" si="46"/>
        <v>0</v>
      </c>
      <c r="R139" s="53">
        <f t="shared" si="46"/>
        <v>0</v>
      </c>
      <c r="S139" s="53">
        <f t="shared" si="46"/>
        <v>0</v>
      </c>
      <c r="T139" s="53">
        <f t="shared" si="46"/>
        <v>0</v>
      </c>
      <c r="U139" s="53">
        <f t="shared" si="46"/>
        <v>0</v>
      </c>
      <c r="V139" s="53">
        <f t="shared" si="46"/>
        <v>0</v>
      </c>
      <c r="W139" s="53">
        <f t="shared" si="46"/>
        <v>0</v>
      </c>
      <c r="X139" s="53">
        <f t="shared" si="46"/>
        <v>0</v>
      </c>
    </row>
    <row r="140" spans="1:256" ht="16.5" thickBot="1">
      <c r="A140" s="17"/>
      <c r="B140" s="8" t="s">
        <v>84</v>
      </c>
      <c r="C140" s="17" t="s">
        <v>21</v>
      </c>
      <c r="D140" s="18">
        <f>H140+K140</f>
        <v>0</v>
      </c>
      <c r="E140" s="18">
        <f t="shared" si="45"/>
        <v>0</v>
      </c>
      <c r="F140" s="18">
        <f t="shared" si="45"/>
        <v>0</v>
      </c>
      <c r="G140" s="18">
        <f t="shared" si="45"/>
        <v>0</v>
      </c>
      <c r="H140" s="18">
        <v>0</v>
      </c>
      <c r="I140" s="18"/>
      <c r="J140" s="18">
        <f t="shared" si="46"/>
        <v>0</v>
      </c>
      <c r="K140" s="54">
        <f t="shared" si="46"/>
        <v>0</v>
      </c>
      <c r="L140" s="53">
        <f t="shared" si="46"/>
        <v>0</v>
      </c>
      <c r="M140" s="53">
        <f t="shared" si="46"/>
        <v>0</v>
      </c>
      <c r="N140" s="53">
        <f t="shared" si="46"/>
        <v>0</v>
      </c>
      <c r="O140" s="53">
        <f t="shared" si="46"/>
        <v>0</v>
      </c>
      <c r="P140" s="53">
        <f t="shared" si="46"/>
        <v>0</v>
      </c>
      <c r="Q140" s="53">
        <f t="shared" si="46"/>
        <v>0</v>
      </c>
      <c r="R140" s="53">
        <f t="shared" si="46"/>
        <v>0</v>
      </c>
      <c r="S140" s="53">
        <f t="shared" si="46"/>
        <v>0</v>
      </c>
      <c r="T140" s="53">
        <f t="shared" si="46"/>
        <v>0</v>
      </c>
      <c r="U140" s="53">
        <f t="shared" si="46"/>
        <v>0</v>
      </c>
      <c r="V140" s="53">
        <f t="shared" si="46"/>
        <v>0</v>
      </c>
      <c r="W140" s="53">
        <f t="shared" si="46"/>
        <v>0</v>
      </c>
      <c r="X140" s="53">
        <f t="shared" si="46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18">
        <f t="shared" ref="D141:D146" si="47">E141+H141+K141+N141+P141+R141+U141+W141</f>
        <v>0</v>
      </c>
      <c r="E141" s="18">
        <f t="shared" ref="E141:E156" si="48">F141+G141</f>
        <v>0</v>
      </c>
      <c r="F141" s="21"/>
      <c r="G141" s="21"/>
      <c r="H141" s="21">
        <v>0</v>
      </c>
      <c r="I141" s="21"/>
      <c r="J141" s="21"/>
      <c r="K141" s="59">
        <f t="shared" ref="K141:K156" si="49">L141+M141</f>
        <v>0</v>
      </c>
      <c r="L141" s="122"/>
      <c r="M141" s="122"/>
      <c r="N141" s="57">
        <f t="shared" ref="N141:N156" si="50">O141</f>
        <v>0</v>
      </c>
      <c r="O141" s="256"/>
      <c r="P141" s="57">
        <f t="shared" ref="P141:P156" si="51">Q141</f>
        <v>0</v>
      </c>
      <c r="Q141" s="66"/>
      <c r="R141" s="57">
        <f t="shared" ref="R141:R156" si="52">S141+T141</f>
        <v>0</v>
      </c>
      <c r="S141" s="59"/>
      <c r="T141" s="57"/>
      <c r="U141" s="57">
        <f t="shared" ref="U141:U156" si="53">V141</f>
        <v>0</v>
      </c>
      <c r="V141" s="57"/>
      <c r="W141" s="57">
        <f t="shared" ref="W141:W156" si="54">X141</f>
        <v>0</v>
      </c>
      <c r="X141" s="57"/>
    </row>
    <row r="142" spans="1:256" ht="16.5" thickBot="1">
      <c r="A142" s="17"/>
      <c r="B142" s="19"/>
      <c r="C142" s="17" t="s">
        <v>21</v>
      </c>
      <c r="D142" s="18">
        <f t="shared" si="47"/>
        <v>0</v>
      </c>
      <c r="E142" s="18">
        <f t="shared" si="48"/>
        <v>0</v>
      </c>
      <c r="F142" s="21"/>
      <c r="G142" s="21"/>
      <c r="H142" s="21">
        <v>0</v>
      </c>
      <c r="I142" s="21"/>
      <c r="J142" s="21"/>
      <c r="K142" s="59">
        <f t="shared" si="49"/>
        <v>0</v>
      </c>
      <c r="L142" s="122"/>
      <c r="M142" s="122"/>
      <c r="N142" s="57">
        <f t="shared" si="50"/>
        <v>0</v>
      </c>
      <c r="O142" s="256"/>
      <c r="P142" s="57">
        <f t="shared" si="51"/>
        <v>0</v>
      </c>
      <c r="Q142" s="66"/>
      <c r="R142" s="57">
        <f t="shared" si="52"/>
        <v>0</v>
      </c>
      <c r="S142" s="59"/>
      <c r="T142" s="57"/>
      <c r="U142" s="57">
        <f t="shared" si="53"/>
        <v>0</v>
      </c>
      <c r="V142" s="57"/>
      <c r="W142" s="57">
        <f t="shared" si="54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18">
        <f t="shared" si="47"/>
        <v>0</v>
      </c>
      <c r="E143" s="18">
        <f t="shared" si="48"/>
        <v>0</v>
      </c>
      <c r="F143" s="21"/>
      <c r="G143" s="21"/>
      <c r="H143" s="21">
        <v>0</v>
      </c>
      <c r="I143" s="21"/>
      <c r="J143" s="21"/>
      <c r="K143" s="59">
        <f t="shared" si="49"/>
        <v>0</v>
      </c>
      <c r="L143" s="122"/>
      <c r="M143" s="122"/>
      <c r="N143" s="57">
        <f t="shared" si="50"/>
        <v>0</v>
      </c>
      <c r="O143" s="256"/>
      <c r="P143" s="57">
        <f t="shared" si="51"/>
        <v>0</v>
      </c>
      <c r="Q143" s="66"/>
      <c r="R143" s="57">
        <f t="shared" si="52"/>
        <v>0</v>
      </c>
      <c r="S143" s="59"/>
      <c r="T143" s="57"/>
      <c r="U143" s="57">
        <f t="shared" si="53"/>
        <v>0</v>
      </c>
      <c r="V143" s="57"/>
      <c r="W143" s="57">
        <f t="shared" si="54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18">
        <f t="shared" si="47"/>
        <v>0</v>
      </c>
      <c r="E144" s="18">
        <f t="shared" si="48"/>
        <v>0</v>
      </c>
      <c r="F144" s="21"/>
      <c r="G144" s="21"/>
      <c r="H144" s="21">
        <v>0</v>
      </c>
      <c r="I144" s="21"/>
      <c r="J144" s="21"/>
      <c r="K144" s="59">
        <f t="shared" si="49"/>
        <v>0</v>
      </c>
      <c r="L144" s="122"/>
      <c r="M144" s="122"/>
      <c r="N144" s="57">
        <f t="shared" si="50"/>
        <v>0</v>
      </c>
      <c r="O144" s="256"/>
      <c r="P144" s="57">
        <f t="shared" si="51"/>
        <v>0</v>
      </c>
      <c r="Q144" s="66"/>
      <c r="R144" s="57">
        <f t="shared" si="52"/>
        <v>0</v>
      </c>
      <c r="S144" s="59"/>
      <c r="T144" s="57"/>
      <c r="U144" s="57">
        <f t="shared" si="53"/>
        <v>0</v>
      </c>
      <c r="V144" s="57"/>
      <c r="W144" s="57">
        <f t="shared" si="54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18">
        <f t="shared" si="47"/>
        <v>0</v>
      </c>
      <c r="E145" s="18">
        <f t="shared" si="48"/>
        <v>0</v>
      </c>
      <c r="F145" s="21"/>
      <c r="G145" s="21"/>
      <c r="H145" s="21">
        <v>0</v>
      </c>
      <c r="I145" s="21"/>
      <c r="J145" s="21"/>
      <c r="K145" s="59">
        <f t="shared" si="49"/>
        <v>0</v>
      </c>
      <c r="L145" s="122"/>
      <c r="M145" s="122"/>
      <c r="N145" s="57">
        <f t="shared" si="50"/>
        <v>0</v>
      </c>
      <c r="O145" s="256"/>
      <c r="P145" s="57">
        <f t="shared" si="51"/>
        <v>0</v>
      </c>
      <c r="Q145" s="66"/>
      <c r="R145" s="57">
        <f t="shared" si="52"/>
        <v>0</v>
      </c>
      <c r="S145" s="59"/>
      <c r="T145" s="57"/>
      <c r="U145" s="57">
        <f t="shared" si="53"/>
        <v>0</v>
      </c>
      <c r="V145" s="57"/>
      <c r="W145" s="57">
        <f t="shared" si="54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18">
        <f t="shared" si="47"/>
        <v>0</v>
      </c>
      <c r="E146" s="18">
        <f t="shared" si="48"/>
        <v>0</v>
      </c>
      <c r="F146" s="21"/>
      <c r="G146" s="21"/>
      <c r="H146" s="21">
        <v>0</v>
      </c>
      <c r="I146" s="21"/>
      <c r="J146" s="21"/>
      <c r="K146" s="59">
        <f t="shared" si="49"/>
        <v>0</v>
      </c>
      <c r="L146" s="122"/>
      <c r="M146" s="122"/>
      <c r="N146" s="57">
        <f t="shared" si="50"/>
        <v>0</v>
      </c>
      <c r="O146" s="256"/>
      <c r="P146" s="57">
        <f t="shared" si="51"/>
        <v>0</v>
      </c>
      <c r="Q146" s="66"/>
      <c r="R146" s="57">
        <f t="shared" si="52"/>
        <v>0</v>
      </c>
      <c r="S146" s="59"/>
      <c r="T146" s="57"/>
      <c r="U146" s="57">
        <f t="shared" si="53"/>
        <v>0</v>
      </c>
      <c r="V146" s="57"/>
      <c r="W146" s="57">
        <f t="shared" si="54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18">
        <v>0</v>
      </c>
      <c r="E147" s="18">
        <f t="shared" si="48"/>
        <v>0</v>
      </c>
      <c r="F147" s="21"/>
      <c r="G147" s="21"/>
      <c r="H147" s="21">
        <v>0</v>
      </c>
      <c r="I147" s="21"/>
      <c r="J147" s="21"/>
      <c r="K147" s="59">
        <f t="shared" si="49"/>
        <v>0</v>
      </c>
      <c r="L147" s="122"/>
      <c r="M147" s="122"/>
      <c r="N147" s="57">
        <f t="shared" si="50"/>
        <v>0</v>
      </c>
      <c r="O147" s="256"/>
      <c r="P147" s="57">
        <f t="shared" si="51"/>
        <v>0</v>
      </c>
      <c r="Q147" s="66"/>
      <c r="R147" s="57">
        <f t="shared" si="52"/>
        <v>0</v>
      </c>
      <c r="S147" s="59"/>
      <c r="T147" s="57"/>
      <c r="U147" s="57">
        <f t="shared" si="53"/>
        <v>0</v>
      </c>
      <c r="V147" s="57"/>
      <c r="W147" s="57">
        <f t="shared" si="54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18">
        <v>0</v>
      </c>
      <c r="E148" s="18">
        <f t="shared" si="48"/>
        <v>0</v>
      </c>
      <c r="F148" s="21"/>
      <c r="G148" s="21"/>
      <c r="H148" s="21">
        <v>0</v>
      </c>
      <c r="I148" s="21"/>
      <c r="J148" s="21"/>
      <c r="K148" s="59">
        <f t="shared" si="49"/>
        <v>0</v>
      </c>
      <c r="L148" s="122"/>
      <c r="M148" s="122"/>
      <c r="N148" s="57">
        <f t="shared" si="50"/>
        <v>0</v>
      </c>
      <c r="O148" s="256"/>
      <c r="P148" s="57">
        <f t="shared" si="51"/>
        <v>0</v>
      </c>
      <c r="Q148" s="75"/>
      <c r="R148" s="57">
        <f t="shared" si="52"/>
        <v>0</v>
      </c>
      <c r="S148" s="129"/>
      <c r="T148" s="72"/>
      <c r="U148" s="57">
        <f t="shared" si="53"/>
        <v>0</v>
      </c>
      <c r="V148" s="72"/>
      <c r="W148" s="57">
        <f t="shared" si="54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18">
        <f t="shared" ref="D149:D156" si="55">E149+H149+K149+N149+P149+R149+U149+W149</f>
        <v>0</v>
      </c>
      <c r="E149" s="18">
        <f t="shared" si="48"/>
        <v>0</v>
      </c>
      <c r="F149" s="21"/>
      <c r="G149" s="21"/>
      <c r="H149" s="21">
        <v>0</v>
      </c>
      <c r="I149" s="21"/>
      <c r="J149" s="21"/>
      <c r="K149" s="59">
        <f t="shared" si="49"/>
        <v>0</v>
      </c>
      <c r="L149" s="122"/>
      <c r="M149" s="122"/>
      <c r="N149" s="57">
        <f t="shared" si="50"/>
        <v>0</v>
      </c>
      <c r="O149" s="256"/>
      <c r="P149" s="57">
        <f t="shared" si="51"/>
        <v>0</v>
      </c>
      <c r="Q149" s="66"/>
      <c r="R149" s="57">
        <f t="shared" si="52"/>
        <v>0</v>
      </c>
      <c r="S149" s="59"/>
      <c r="T149" s="57"/>
      <c r="U149" s="57">
        <f t="shared" si="53"/>
        <v>0</v>
      </c>
      <c r="V149" s="57"/>
      <c r="W149" s="57">
        <f t="shared" si="54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18">
        <f t="shared" si="55"/>
        <v>0</v>
      </c>
      <c r="E150" s="18">
        <f t="shared" si="48"/>
        <v>0</v>
      </c>
      <c r="F150" s="21"/>
      <c r="G150" s="21"/>
      <c r="H150" s="21">
        <v>0</v>
      </c>
      <c r="I150" s="21"/>
      <c r="J150" s="21"/>
      <c r="K150" s="59">
        <f t="shared" si="49"/>
        <v>0</v>
      </c>
      <c r="L150" s="122"/>
      <c r="M150" s="122"/>
      <c r="N150" s="57">
        <f t="shared" si="50"/>
        <v>0</v>
      </c>
      <c r="O150" s="256"/>
      <c r="P150" s="57">
        <f t="shared" si="51"/>
        <v>0</v>
      </c>
      <c r="Q150" s="66"/>
      <c r="R150" s="57">
        <f t="shared" si="52"/>
        <v>0</v>
      </c>
      <c r="S150" s="59"/>
      <c r="T150" s="57"/>
      <c r="U150" s="57">
        <f t="shared" si="53"/>
        <v>0</v>
      </c>
      <c r="V150" s="57"/>
      <c r="W150" s="57">
        <f t="shared" si="54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18">
        <f t="shared" si="55"/>
        <v>0</v>
      </c>
      <c r="E151" s="18">
        <f t="shared" si="48"/>
        <v>0</v>
      </c>
      <c r="F151" s="21"/>
      <c r="G151" s="21"/>
      <c r="H151" s="21">
        <v>0</v>
      </c>
      <c r="I151" s="21"/>
      <c r="J151" s="21"/>
      <c r="K151" s="59">
        <f t="shared" si="49"/>
        <v>0</v>
      </c>
      <c r="L151" s="122"/>
      <c r="M151" s="122"/>
      <c r="N151" s="57">
        <f t="shared" si="50"/>
        <v>0</v>
      </c>
      <c r="O151" s="256"/>
      <c r="P151" s="57">
        <f t="shared" si="51"/>
        <v>0</v>
      </c>
      <c r="Q151" s="66"/>
      <c r="R151" s="57">
        <f t="shared" si="52"/>
        <v>0</v>
      </c>
      <c r="S151" s="59"/>
      <c r="T151" s="57"/>
      <c r="U151" s="57">
        <f t="shared" si="53"/>
        <v>0</v>
      </c>
      <c r="V151" s="57"/>
      <c r="W151" s="57">
        <f t="shared" si="54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18">
        <f t="shared" si="55"/>
        <v>0</v>
      </c>
      <c r="E152" s="18">
        <f t="shared" si="48"/>
        <v>0</v>
      </c>
      <c r="F152" s="21"/>
      <c r="G152" s="21"/>
      <c r="H152" s="21">
        <v>0</v>
      </c>
      <c r="I152" s="21"/>
      <c r="J152" s="21"/>
      <c r="K152" s="59">
        <f t="shared" si="49"/>
        <v>0</v>
      </c>
      <c r="L152" s="122"/>
      <c r="M152" s="122"/>
      <c r="N152" s="57">
        <f t="shared" si="50"/>
        <v>0</v>
      </c>
      <c r="O152" s="256"/>
      <c r="P152" s="57">
        <f t="shared" si="51"/>
        <v>0</v>
      </c>
      <c r="Q152" s="66"/>
      <c r="R152" s="57">
        <f t="shared" si="52"/>
        <v>0</v>
      </c>
      <c r="S152" s="59"/>
      <c r="T152" s="57"/>
      <c r="U152" s="57">
        <f t="shared" si="53"/>
        <v>0</v>
      </c>
      <c r="V152" s="57"/>
      <c r="W152" s="57">
        <f t="shared" si="54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18">
        <f t="shared" si="55"/>
        <v>0</v>
      </c>
      <c r="E153" s="18">
        <f t="shared" si="48"/>
        <v>0</v>
      </c>
      <c r="F153" s="21"/>
      <c r="G153" s="21"/>
      <c r="H153" s="21">
        <v>0</v>
      </c>
      <c r="I153" s="21"/>
      <c r="J153" s="21"/>
      <c r="K153" s="59">
        <f t="shared" si="49"/>
        <v>0</v>
      </c>
      <c r="L153" s="122"/>
      <c r="M153" s="122"/>
      <c r="N153" s="57">
        <f t="shared" si="50"/>
        <v>0</v>
      </c>
      <c r="O153" s="256"/>
      <c r="P153" s="57">
        <f t="shared" si="51"/>
        <v>0</v>
      </c>
      <c r="Q153" s="66"/>
      <c r="R153" s="57">
        <f t="shared" si="52"/>
        <v>0</v>
      </c>
      <c r="S153" s="59"/>
      <c r="T153" s="57"/>
      <c r="U153" s="57">
        <f t="shared" si="53"/>
        <v>0</v>
      </c>
      <c r="V153" s="57"/>
      <c r="W153" s="57">
        <f t="shared" si="54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18">
        <f t="shared" si="55"/>
        <v>0</v>
      </c>
      <c r="E154" s="18">
        <f t="shared" si="48"/>
        <v>0</v>
      </c>
      <c r="F154" s="21"/>
      <c r="G154" s="21"/>
      <c r="H154" s="21">
        <v>0</v>
      </c>
      <c r="I154" s="21"/>
      <c r="J154" s="21"/>
      <c r="K154" s="59">
        <f t="shared" si="49"/>
        <v>0</v>
      </c>
      <c r="L154" s="122"/>
      <c r="M154" s="122"/>
      <c r="N154" s="57">
        <f t="shared" si="50"/>
        <v>0</v>
      </c>
      <c r="O154" s="256"/>
      <c r="P154" s="57">
        <f t="shared" si="51"/>
        <v>0</v>
      </c>
      <c r="Q154" s="66"/>
      <c r="R154" s="57">
        <f t="shared" si="52"/>
        <v>0</v>
      </c>
      <c r="S154" s="59"/>
      <c r="T154" s="57"/>
      <c r="U154" s="57">
        <f t="shared" si="53"/>
        <v>0</v>
      </c>
      <c r="V154" s="57"/>
      <c r="W154" s="57">
        <f t="shared" si="54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18">
        <f t="shared" si="55"/>
        <v>0</v>
      </c>
      <c r="E155" s="18">
        <f t="shared" si="48"/>
        <v>0</v>
      </c>
      <c r="F155" s="21"/>
      <c r="G155" s="21"/>
      <c r="H155" s="21">
        <v>0</v>
      </c>
      <c r="I155" s="21"/>
      <c r="J155" s="21"/>
      <c r="K155" s="59">
        <f t="shared" si="49"/>
        <v>0</v>
      </c>
      <c r="L155" s="122"/>
      <c r="M155" s="122"/>
      <c r="N155" s="57">
        <f t="shared" si="50"/>
        <v>0</v>
      </c>
      <c r="O155" s="257"/>
      <c r="P155" s="57">
        <f t="shared" si="51"/>
        <v>0</v>
      </c>
      <c r="Q155" s="66"/>
      <c r="R155" s="57">
        <f t="shared" si="52"/>
        <v>0</v>
      </c>
      <c r="S155" s="59"/>
      <c r="T155" s="57"/>
      <c r="U155" s="57">
        <f t="shared" si="53"/>
        <v>0</v>
      </c>
      <c r="V155" s="57"/>
      <c r="W155" s="57">
        <f t="shared" si="54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18">
        <f t="shared" si="55"/>
        <v>0</v>
      </c>
      <c r="E156" s="18">
        <f t="shared" si="48"/>
        <v>0</v>
      </c>
      <c r="F156" s="21"/>
      <c r="G156" s="21"/>
      <c r="H156" s="21">
        <v>0</v>
      </c>
      <c r="I156" s="21"/>
      <c r="J156" s="21"/>
      <c r="K156" s="59">
        <f t="shared" si="49"/>
        <v>0</v>
      </c>
      <c r="L156" s="122"/>
      <c r="M156" s="122"/>
      <c r="N156" s="57">
        <f t="shared" si="50"/>
        <v>0</v>
      </c>
      <c r="O156" s="190"/>
      <c r="P156" s="57">
        <f t="shared" si="51"/>
        <v>0</v>
      </c>
      <c r="Q156" s="148"/>
      <c r="R156" s="57">
        <f t="shared" si="52"/>
        <v>0</v>
      </c>
      <c r="S156" s="143"/>
      <c r="T156" s="121"/>
      <c r="U156" s="57">
        <f t="shared" si="53"/>
        <v>0</v>
      </c>
      <c r="V156" s="121"/>
      <c r="W156" s="57">
        <f t="shared" si="54"/>
        <v>0</v>
      </c>
      <c r="X156" s="121"/>
    </row>
    <row r="157" spans="1:24" s="6" customFormat="1" ht="43.5" customHeight="1">
      <c r="A157" s="5" t="s">
        <v>191</v>
      </c>
      <c r="B157" s="5"/>
      <c r="C157" s="5"/>
      <c r="D157" s="5"/>
      <c r="E157" s="5"/>
    </row>
    <row r="158" spans="1:24" s="6" customFormat="1">
      <c r="A158" s="7"/>
    </row>
    <row r="159" spans="1:24" s="6" customFormat="1">
      <c r="A159" s="7"/>
    </row>
    <row r="160" spans="1:24" s="6" customFormat="1">
      <c r="A160" s="5"/>
      <c r="B160" s="5"/>
      <c r="C160" s="5"/>
      <c r="D160" s="5"/>
      <c r="E160" s="5"/>
    </row>
    <row r="163" ht="6" customHeight="1"/>
  </sheetData>
  <mergeCells count="21">
    <mergeCell ref="A14:A16"/>
    <mergeCell ref="A101:T101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7"/>
  <dimension ref="A1:DK156"/>
  <sheetViews>
    <sheetView view="pageBreakPreview" topLeftCell="A8" zoomScale="142" zoomScaleSheetLayoutView="142" workbookViewId="0">
      <selection activeCell="E27" sqref="E27"/>
    </sheetView>
  </sheetViews>
  <sheetFormatPr defaultColWidth="8.85546875" defaultRowHeight="12.75"/>
  <cols>
    <col min="1" max="1" width="3.7109375" style="268" customWidth="1"/>
    <col min="2" max="2" width="47.7109375" style="268" customWidth="1"/>
    <col min="3" max="3" width="6.28515625" style="268" customWidth="1"/>
    <col min="4" max="4" width="12.85546875" style="355" customWidth="1"/>
    <col min="5" max="5" width="8.28515625" style="355" customWidth="1"/>
    <col min="6" max="6" width="7.7109375" style="574" customWidth="1"/>
    <col min="7" max="7" width="7.5703125" style="574" customWidth="1"/>
    <col min="8" max="8" width="7.7109375" style="290" customWidth="1"/>
    <col min="9" max="9" width="7.5703125" style="290" customWidth="1"/>
    <col min="10" max="16384" width="8.85546875" style="268"/>
  </cols>
  <sheetData>
    <row r="1" spans="1:10" ht="18.75" customHeight="1">
      <c r="E1" s="1762" t="s">
        <v>184</v>
      </c>
      <c r="F1" s="1762"/>
      <c r="G1" s="1762"/>
      <c r="H1" s="1762"/>
      <c r="I1" s="1762"/>
    </row>
    <row r="2" spans="1:10" ht="18.75" customHeight="1">
      <c r="E2" s="1762" t="s">
        <v>185</v>
      </c>
      <c r="F2" s="1762"/>
      <c r="G2" s="1762"/>
      <c r="H2" s="1762"/>
      <c r="I2" s="1762"/>
    </row>
    <row r="3" spans="1:10" ht="18.75" customHeight="1">
      <c r="E3" s="1762" t="s">
        <v>186</v>
      </c>
      <c r="F3" s="1762"/>
      <c r="G3" s="1762"/>
      <c r="H3" s="1762"/>
      <c r="I3" s="1762"/>
    </row>
    <row r="4" spans="1:10" ht="18.75" customHeight="1">
      <c r="E4" s="1762" t="s">
        <v>187</v>
      </c>
      <c r="F4" s="1762"/>
      <c r="G4" s="1762"/>
      <c r="H4" s="1762"/>
      <c r="I4" s="1762"/>
    </row>
    <row r="5" spans="1:10" ht="28.5" customHeight="1">
      <c r="E5" s="1762" t="s">
        <v>210</v>
      </c>
      <c r="F5" s="1762"/>
      <c r="G5" s="1762"/>
      <c r="H5" s="1762"/>
      <c r="I5" s="1762"/>
    </row>
    <row r="8" spans="1:10">
      <c r="A8" s="1758"/>
      <c r="B8" s="1758"/>
      <c r="D8" s="269"/>
      <c r="E8" s="269"/>
      <c r="F8" s="565"/>
      <c r="G8" s="565"/>
      <c r="H8" s="566" t="s">
        <v>214</v>
      </c>
      <c r="I8" s="566"/>
    </row>
    <row r="9" spans="1:10">
      <c r="A9" s="1758"/>
      <c r="B9" s="1758"/>
      <c r="D9" s="269"/>
      <c r="E9" s="269"/>
      <c r="F9" s="565"/>
      <c r="G9" s="565"/>
      <c r="H9" s="567"/>
      <c r="I9" s="567"/>
    </row>
    <row r="10" spans="1:10">
      <c r="A10" s="1759"/>
      <c r="B10" s="1759"/>
      <c r="D10" s="269"/>
      <c r="E10" s="269"/>
      <c r="F10" s="565"/>
      <c r="G10" s="565"/>
      <c r="H10" s="567"/>
      <c r="I10" s="567"/>
    </row>
    <row r="11" spans="1:10" s="356" customFormat="1" ht="15.75">
      <c r="A11" s="1872" t="s">
        <v>297</v>
      </c>
      <c r="B11" s="1872"/>
      <c r="C11" s="1872"/>
      <c r="D11" s="1872"/>
      <c r="E11" s="1872"/>
      <c r="F11" s="1872"/>
      <c r="G11" s="1872"/>
      <c r="H11" s="1872"/>
      <c r="I11" s="1872"/>
    </row>
    <row r="12" spans="1:10" ht="13.5" thickBot="1">
      <c r="A12" s="270"/>
      <c r="B12" s="1873" t="s">
        <v>298</v>
      </c>
      <c r="C12" s="1873"/>
      <c r="D12" s="1873"/>
      <c r="E12" s="1873"/>
      <c r="F12" s="1873"/>
      <c r="G12" s="1873"/>
      <c r="H12" s="567"/>
      <c r="I12" s="567"/>
    </row>
    <row r="13" spans="1:10" ht="79.5" thickBot="1">
      <c r="A13" s="271" t="s">
        <v>1</v>
      </c>
      <c r="B13" s="272" t="s">
        <v>2</v>
      </c>
      <c r="C13" s="272" t="s">
        <v>3</v>
      </c>
      <c r="D13" s="273" t="s">
        <v>215</v>
      </c>
      <c r="E13" s="274" t="s">
        <v>290</v>
      </c>
      <c r="F13" s="275" t="s">
        <v>193</v>
      </c>
      <c r="G13" s="1874" t="s">
        <v>216</v>
      </c>
      <c r="H13" s="1875"/>
      <c r="I13" s="1876"/>
    </row>
    <row r="14" spans="1:10" ht="16.5" thickBot="1">
      <c r="A14" s="276"/>
      <c r="B14" s="277"/>
      <c r="C14" s="277"/>
      <c r="D14" s="278"/>
      <c r="E14" s="279"/>
      <c r="F14" s="280"/>
      <c r="G14" s="568" t="s">
        <v>14</v>
      </c>
      <c r="H14" s="569" t="s">
        <v>15</v>
      </c>
      <c r="I14" s="569" t="s">
        <v>16</v>
      </c>
    </row>
    <row r="15" spans="1:10" ht="15.75" thickBot="1">
      <c r="A15" s="281" t="s">
        <v>19</v>
      </c>
      <c r="B15" s="282" t="s">
        <v>20</v>
      </c>
      <c r="C15" s="283" t="s">
        <v>21</v>
      </c>
      <c r="D15" s="284">
        <v>57372.765899999999</v>
      </c>
      <c r="E15" s="284">
        <v>4400.7910000000002</v>
      </c>
      <c r="F15" s="570">
        <f>E15/D15*100</f>
        <v>7.6705226442638708</v>
      </c>
      <c r="G15" s="570">
        <f>H15+I15</f>
        <v>4400.7910000000002</v>
      </c>
      <c r="H15" s="570">
        <f>'6 месяцев'!I13+'6 месяцев'!L13</f>
        <v>3688.7150000000001</v>
      </c>
      <c r="I15" s="570">
        <f>'6 месяцев'!J13+'6 месяцев'!M13</f>
        <v>712.07600000000002</v>
      </c>
    </row>
    <row r="16" spans="1:10" s="287" customFormat="1" ht="45.75" thickBot="1">
      <c r="A16" s="1877">
        <v>1</v>
      </c>
      <c r="B16" s="495" t="s">
        <v>22</v>
      </c>
      <c r="C16" s="285" t="s">
        <v>33</v>
      </c>
      <c r="D16" s="286">
        <v>78</v>
      </c>
      <c r="E16" s="286">
        <v>29</v>
      </c>
      <c r="F16" s="570">
        <f t="shared" ref="F16:F79" si="0">E16/D16*100</f>
        <v>37.179487179487182</v>
      </c>
      <c r="G16" s="570">
        <f t="shared" ref="G16:G79" si="1">H16+I16</f>
        <v>29</v>
      </c>
      <c r="H16" s="570">
        <f>'6 месяцев'!I14+'6 месяцев'!L14</f>
        <v>29</v>
      </c>
      <c r="I16" s="570">
        <f>'6 месяцев'!J14+'6 месяцев'!M14</f>
        <v>0</v>
      </c>
      <c r="J16" s="268"/>
    </row>
    <row r="17" spans="1:10" s="290" customFormat="1" ht="15.75" thickBot="1">
      <c r="A17" s="1878"/>
      <c r="B17" s="496"/>
      <c r="C17" s="288" t="s">
        <v>24</v>
      </c>
      <c r="D17" s="289">
        <v>3.9447000000000001</v>
      </c>
      <c r="E17" s="289">
        <v>0.21942999999999999</v>
      </c>
      <c r="F17" s="570">
        <f t="shared" si="0"/>
        <v>5.5626536872258976</v>
      </c>
      <c r="G17" s="570">
        <f t="shared" si="1"/>
        <v>0.21942999999999999</v>
      </c>
      <c r="H17" s="570">
        <f>'6 месяцев'!I15+'6 месяцев'!L15</f>
        <v>0.21942999999999999</v>
      </c>
      <c r="I17" s="570">
        <f>'6 месяцев'!J15+'6 месяцев'!M15</f>
        <v>0</v>
      </c>
      <c r="J17" s="268"/>
    </row>
    <row r="18" spans="1:10" s="290" customFormat="1" ht="15.75" thickBot="1">
      <c r="A18" s="1879"/>
      <c r="B18" s="291" t="s">
        <v>25</v>
      </c>
      <c r="C18" s="288" t="s">
        <v>21</v>
      </c>
      <c r="D18" s="289">
        <v>1927.7079999999996</v>
      </c>
      <c r="E18" s="289">
        <v>214.42900000000003</v>
      </c>
      <c r="F18" s="570">
        <f t="shared" si="0"/>
        <v>11.123520782193157</v>
      </c>
      <c r="G18" s="570">
        <f t="shared" si="1"/>
        <v>214.42900000000003</v>
      </c>
      <c r="H18" s="570">
        <f>'6 месяцев'!I16+'6 месяцев'!L16</f>
        <v>214.42900000000003</v>
      </c>
      <c r="I18" s="570">
        <f>'6 месяцев'!J16+'6 месяцев'!M16</f>
        <v>0</v>
      </c>
      <c r="J18" s="268"/>
    </row>
    <row r="19" spans="1:10" s="290" customFormat="1" ht="15.75" thickBot="1">
      <c r="A19" s="1834" t="s">
        <v>26</v>
      </c>
      <c r="B19" s="1836" t="s">
        <v>27</v>
      </c>
      <c r="C19" s="292" t="s">
        <v>24</v>
      </c>
      <c r="D19" s="293">
        <v>1.4177</v>
      </c>
      <c r="E19" s="293">
        <v>6.2600000000000003E-2</v>
      </c>
      <c r="F19" s="570">
        <f t="shared" si="0"/>
        <v>4.4156027368272559</v>
      </c>
      <c r="G19" s="570">
        <f t="shared" si="1"/>
        <v>6.2600000000000003E-2</v>
      </c>
      <c r="H19" s="570">
        <f>'6 месяцев'!I17+'6 месяцев'!L17</f>
        <v>6.2600000000000003E-2</v>
      </c>
      <c r="I19" s="570">
        <f>'6 месяцев'!J17+'6 месяцев'!M17</f>
        <v>0</v>
      </c>
      <c r="J19" s="268"/>
    </row>
    <row r="20" spans="1:10" s="290" customFormat="1" ht="15.75" thickBot="1">
      <c r="A20" s="1834"/>
      <c r="B20" s="1836"/>
      <c r="C20" s="292" t="s">
        <v>21</v>
      </c>
      <c r="D20" s="293">
        <v>411.50799999999987</v>
      </c>
      <c r="E20" s="293">
        <v>145.86700000000002</v>
      </c>
      <c r="F20" s="570">
        <f t="shared" si="0"/>
        <v>35.446941493239514</v>
      </c>
      <c r="G20" s="570">
        <f t="shared" si="1"/>
        <v>145.86700000000002</v>
      </c>
      <c r="H20" s="570">
        <f>'6 месяцев'!I18+'6 месяцев'!L18</f>
        <v>145.86700000000002</v>
      </c>
      <c r="I20" s="570">
        <f>'6 месяцев'!J18+'6 месяцев'!M18</f>
        <v>0</v>
      </c>
      <c r="J20" s="268"/>
    </row>
    <row r="21" spans="1:10" s="290" customFormat="1" ht="15.75" thickBot="1">
      <c r="A21" s="1847" t="s">
        <v>28</v>
      </c>
      <c r="B21" s="1836" t="s">
        <v>29</v>
      </c>
      <c r="C21" s="292" t="s">
        <v>24</v>
      </c>
      <c r="D21" s="293">
        <v>2.5270000000000001</v>
      </c>
      <c r="E21" s="293">
        <v>0.15683</v>
      </c>
      <c r="F21" s="570">
        <f t="shared" si="0"/>
        <v>6.206173328056984</v>
      </c>
      <c r="G21" s="570">
        <f t="shared" si="1"/>
        <v>0.15683</v>
      </c>
      <c r="H21" s="570">
        <f>'6 месяцев'!I19+'6 месяцев'!L19</f>
        <v>0.15683</v>
      </c>
      <c r="I21" s="570">
        <f>'6 месяцев'!J19+'6 месяцев'!M19</f>
        <v>0</v>
      </c>
      <c r="J21" s="268"/>
    </row>
    <row r="22" spans="1:10" s="290" customFormat="1" ht="15.75" thickBot="1">
      <c r="A22" s="1847"/>
      <c r="B22" s="1836"/>
      <c r="C22" s="292" t="s">
        <v>21</v>
      </c>
      <c r="D22" s="293">
        <v>1516.1999999999998</v>
      </c>
      <c r="E22" s="293">
        <v>68.561999999999998</v>
      </c>
      <c r="F22" s="570">
        <f t="shared" si="0"/>
        <v>4.5219628017411955</v>
      </c>
      <c r="G22" s="570">
        <f t="shared" si="1"/>
        <v>68.561999999999998</v>
      </c>
      <c r="H22" s="570">
        <f>'6 месяцев'!I20+'6 месяцев'!L20</f>
        <v>68.561999999999998</v>
      </c>
      <c r="I22" s="570">
        <f>'6 месяцев'!J20+'6 месяцев'!M20</f>
        <v>0</v>
      </c>
      <c r="J22" s="268"/>
    </row>
    <row r="23" spans="1:10" s="290" customFormat="1" ht="15.75" thickBot="1">
      <c r="A23" s="294" t="s">
        <v>217</v>
      </c>
      <c r="B23" s="295" t="s">
        <v>31</v>
      </c>
      <c r="C23" s="296" t="s">
        <v>21</v>
      </c>
      <c r="D23" s="297">
        <v>0</v>
      </c>
      <c r="E23" s="297">
        <v>0</v>
      </c>
      <c r="F23" s="570">
        <v>0</v>
      </c>
      <c r="G23" s="570">
        <f t="shared" si="1"/>
        <v>0</v>
      </c>
      <c r="H23" s="570">
        <f>'6 месяцев'!I21+'6 месяцев'!L21</f>
        <v>0</v>
      </c>
      <c r="I23" s="570">
        <f>'6 месяцев'!J21+'6 месяцев'!M21</f>
        <v>0</v>
      </c>
      <c r="J23" s="268"/>
    </row>
    <row r="24" spans="1:10" s="290" customFormat="1" ht="45.75" thickBot="1">
      <c r="A24" s="1870" t="s">
        <v>218</v>
      </c>
      <c r="B24" s="1856" t="s">
        <v>219</v>
      </c>
      <c r="C24" s="298" t="s">
        <v>33</v>
      </c>
      <c r="D24" s="299">
        <v>6</v>
      </c>
      <c r="E24" s="299">
        <v>0</v>
      </c>
      <c r="F24" s="570">
        <f t="shared" si="0"/>
        <v>0</v>
      </c>
      <c r="G24" s="570">
        <f t="shared" si="1"/>
        <v>0</v>
      </c>
      <c r="H24" s="570">
        <f>'6 месяцев'!I22+'6 месяцев'!L22</f>
        <v>0</v>
      </c>
      <c r="I24" s="570">
        <f>'6 месяцев'!J22+'6 месяцев'!M22</f>
        <v>0</v>
      </c>
      <c r="J24" s="268"/>
    </row>
    <row r="25" spans="1:10" s="290" customFormat="1" ht="15.75" thickBot="1">
      <c r="A25" s="1865"/>
      <c r="B25" s="1871"/>
      <c r="C25" s="300" t="s">
        <v>21</v>
      </c>
      <c r="D25" s="289">
        <v>1866.1920000000002</v>
      </c>
      <c r="E25" s="289">
        <v>0</v>
      </c>
      <c r="F25" s="570">
        <f t="shared" si="0"/>
        <v>0</v>
      </c>
      <c r="G25" s="570">
        <f t="shared" si="1"/>
        <v>0</v>
      </c>
      <c r="H25" s="570">
        <f>'6 месяцев'!I23+'6 месяцев'!L23</f>
        <v>0</v>
      </c>
      <c r="I25" s="570">
        <f>'6 месяцев'!J23+'6 месяцев'!M23</f>
        <v>0</v>
      </c>
      <c r="J25" s="268"/>
    </row>
    <row r="26" spans="1:10" s="290" customFormat="1" ht="15.75" thickBot="1">
      <c r="A26" s="1865" t="s">
        <v>35</v>
      </c>
      <c r="B26" s="1866" t="s">
        <v>36</v>
      </c>
      <c r="C26" s="292" t="s">
        <v>220</v>
      </c>
      <c r="D26" s="293">
        <v>227.12</v>
      </c>
      <c r="E26" s="293">
        <v>0</v>
      </c>
      <c r="F26" s="570">
        <f t="shared" si="0"/>
        <v>0</v>
      </c>
      <c r="G26" s="570">
        <f t="shared" si="1"/>
        <v>0</v>
      </c>
      <c r="H26" s="570">
        <f>'6 месяцев'!I24+'6 месяцев'!L24</f>
        <v>0</v>
      </c>
      <c r="I26" s="570">
        <f>'6 месяцев'!J24+'6 месяцев'!M24</f>
        <v>0</v>
      </c>
      <c r="J26" s="268"/>
    </row>
    <row r="27" spans="1:10" s="290" customFormat="1" ht="15.75" thickBot="1">
      <c r="A27" s="1865"/>
      <c r="B27" s="1866"/>
      <c r="C27" s="292" t="s">
        <v>21</v>
      </c>
      <c r="D27" s="293">
        <v>1247.5320000000002</v>
      </c>
      <c r="E27" s="293">
        <v>0</v>
      </c>
      <c r="F27" s="570">
        <f t="shared" si="0"/>
        <v>0</v>
      </c>
      <c r="G27" s="570">
        <f t="shared" si="1"/>
        <v>0</v>
      </c>
      <c r="H27" s="570">
        <f>'6 месяцев'!I25+'6 месяцев'!L25</f>
        <v>0</v>
      </c>
      <c r="I27" s="570">
        <f>'6 месяцев'!J25+'6 месяцев'!M25</f>
        <v>0</v>
      </c>
      <c r="J27" s="268"/>
    </row>
    <row r="28" spans="1:10" s="290" customFormat="1" ht="15.75" thickBot="1">
      <c r="A28" s="1865" t="s">
        <v>38</v>
      </c>
      <c r="B28" s="1869" t="s">
        <v>221</v>
      </c>
      <c r="C28" s="292" t="s">
        <v>222</v>
      </c>
      <c r="D28" s="293">
        <v>452</v>
      </c>
      <c r="E28" s="293">
        <v>0</v>
      </c>
      <c r="F28" s="570">
        <f t="shared" si="0"/>
        <v>0</v>
      </c>
      <c r="G28" s="570">
        <f t="shared" si="1"/>
        <v>0</v>
      </c>
      <c r="H28" s="570">
        <f>'6 месяцев'!I26+'6 месяцев'!L26</f>
        <v>0</v>
      </c>
      <c r="I28" s="570">
        <f>'6 месяцев'!J26+'6 месяцев'!M26</f>
        <v>0</v>
      </c>
      <c r="J28" s="268"/>
    </row>
    <row r="29" spans="1:10" s="290" customFormat="1" ht="15.75" thickBot="1">
      <c r="A29" s="1865"/>
      <c r="B29" s="1869"/>
      <c r="C29" s="292" t="s">
        <v>21</v>
      </c>
      <c r="D29" s="293">
        <v>566.60500000000002</v>
      </c>
      <c r="E29" s="293">
        <v>0</v>
      </c>
      <c r="F29" s="570">
        <f t="shared" si="0"/>
        <v>0</v>
      </c>
      <c r="G29" s="570">
        <f t="shared" si="1"/>
        <v>0</v>
      </c>
      <c r="H29" s="570">
        <f>'6 месяцев'!I27+'6 месяцев'!L27</f>
        <v>0</v>
      </c>
      <c r="I29" s="570">
        <f>'6 месяцев'!J27+'6 месяцев'!M27</f>
        <v>0</v>
      </c>
      <c r="J29" s="268"/>
    </row>
    <row r="30" spans="1:10" s="290" customFormat="1" ht="15.75" thickBot="1">
      <c r="A30" s="1865" t="s">
        <v>42</v>
      </c>
      <c r="B30" s="1869" t="s">
        <v>223</v>
      </c>
      <c r="C30" s="292" t="s">
        <v>222</v>
      </c>
      <c r="D30" s="293">
        <v>0</v>
      </c>
      <c r="E30" s="293">
        <v>0</v>
      </c>
      <c r="F30" s="570">
        <v>0</v>
      </c>
      <c r="G30" s="570">
        <f t="shared" si="1"/>
        <v>0</v>
      </c>
      <c r="H30" s="570">
        <f>'6 месяцев'!I28+'6 месяцев'!L28</f>
        <v>0</v>
      </c>
      <c r="I30" s="570">
        <f>'6 месяцев'!J28+'6 месяцев'!M28</f>
        <v>0</v>
      </c>
      <c r="J30" s="268"/>
    </row>
    <row r="31" spans="1:10" s="290" customFormat="1" ht="15.75" thickBot="1">
      <c r="A31" s="1865"/>
      <c r="B31" s="1869"/>
      <c r="C31" s="292" t="s">
        <v>21</v>
      </c>
      <c r="D31" s="293">
        <v>0</v>
      </c>
      <c r="E31" s="293">
        <v>0</v>
      </c>
      <c r="F31" s="570">
        <v>0</v>
      </c>
      <c r="G31" s="570">
        <f t="shared" si="1"/>
        <v>0</v>
      </c>
      <c r="H31" s="570">
        <f>'6 месяцев'!I29+'6 месяцев'!L29</f>
        <v>0</v>
      </c>
      <c r="I31" s="570">
        <f>'6 месяцев'!J29+'6 месяцев'!M29</f>
        <v>0</v>
      </c>
      <c r="J31" s="268"/>
    </row>
    <row r="32" spans="1:10" s="290" customFormat="1" ht="15.75" thickBot="1">
      <c r="A32" s="1865" t="s">
        <v>45</v>
      </c>
      <c r="B32" s="1866" t="s">
        <v>46</v>
      </c>
      <c r="C32" s="292" t="s">
        <v>47</v>
      </c>
      <c r="D32" s="293">
        <v>0</v>
      </c>
      <c r="E32" s="293">
        <v>0</v>
      </c>
      <c r="F32" s="570">
        <v>0</v>
      </c>
      <c r="G32" s="570">
        <f t="shared" si="1"/>
        <v>0</v>
      </c>
      <c r="H32" s="570">
        <f>'6 месяцев'!I30+'6 месяцев'!L30</f>
        <v>0</v>
      </c>
      <c r="I32" s="570">
        <f>'6 месяцев'!J30+'6 месяцев'!M30</f>
        <v>0</v>
      </c>
      <c r="J32" s="268"/>
    </row>
    <row r="33" spans="1:10" s="290" customFormat="1" ht="15.75" thickBot="1">
      <c r="A33" s="1865"/>
      <c r="B33" s="1866"/>
      <c r="C33" s="292" t="s">
        <v>21</v>
      </c>
      <c r="D33" s="293">
        <v>0</v>
      </c>
      <c r="E33" s="293">
        <v>0</v>
      </c>
      <c r="F33" s="570">
        <v>0</v>
      </c>
      <c r="G33" s="570">
        <f t="shared" si="1"/>
        <v>0</v>
      </c>
      <c r="H33" s="570">
        <f>'6 месяцев'!I31+'6 месяцев'!L31</f>
        <v>0</v>
      </c>
      <c r="I33" s="570">
        <f>'6 месяцев'!J31+'6 месяцев'!M31</f>
        <v>0</v>
      </c>
      <c r="J33" s="268"/>
    </row>
    <row r="34" spans="1:10" s="290" customFormat="1" ht="15.75" thickBot="1">
      <c r="A34" s="301" t="s">
        <v>48</v>
      </c>
      <c r="B34" s="302" t="s">
        <v>224</v>
      </c>
      <c r="C34" s="303" t="s">
        <v>21</v>
      </c>
      <c r="D34" s="304">
        <v>52.054999999999986</v>
      </c>
      <c r="E34" s="304">
        <v>0</v>
      </c>
      <c r="F34" s="570">
        <f t="shared" si="0"/>
        <v>0</v>
      </c>
      <c r="G34" s="570">
        <f t="shared" si="1"/>
        <v>0</v>
      </c>
      <c r="H34" s="570">
        <f>'6 месяцев'!I32+'6 месяцев'!L32</f>
        <v>0</v>
      </c>
      <c r="I34" s="570">
        <f>'6 месяцев'!J32+'6 месяцев'!M32</f>
        <v>0</v>
      </c>
      <c r="J34" s="268"/>
    </row>
    <row r="35" spans="1:10" s="290" customFormat="1" ht="15.75" thickBot="1">
      <c r="A35" s="1838" t="s">
        <v>119</v>
      </c>
      <c r="B35" s="1858" t="s">
        <v>225</v>
      </c>
      <c r="C35" s="305" t="s">
        <v>51</v>
      </c>
      <c r="D35" s="306">
        <v>3.7</v>
      </c>
      <c r="E35" s="306">
        <v>1.3446</v>
      </c>
      <c r="F35" s="570">
        <f t="shared" si="0"/>
        <v>36.340540540540538</v>
      </c>
      <c r="G35" s="570">
        <f t="shared" si="1"/>
        <v>1.3446</v>
      </c>
      <c r="H35" s="570">
        <f>'6 месяцев'!I33+'6 месяцев'!L33</f>
        <v>1.3446</v>
      </c>
      <c r="I35" s="570">
        <f>'6 месяцев'!J33+'6 месяцев'!M33</f>
        <v>0</v>
      </c>
      <c r="J35" s="268"/>
    </row>
    <row r="36" spans="1:10" s="290" customFormat="1" ht="15.75" thickBot="1">
      <c r="A36" s="1839"/>
      <c r="B36" s="1859"/>
      <c r="C36" s="308" t="s">
        <v>21</v>
      </c>
      <c r="D36" s="309">
        <v>2400</v>
      </c>
      <c r="E36" s="309">
        <v>760.47800000000007</v>
      </c>
      <c r="F36" s="570">
        <f t="shared" si="0"/>
        <v>31.686583333333335</v>
      </c>
      <c r="G36" s="570">
        <f t="shared" si="1"/>
        <v>760.47800000000007</v>
      </c>
      <c r="H36" s="570">
        <f>'6 месяцев'!I34+'6 месяцев'!L34</f>
        <v>760.47800000000007</v>
      </c>
      <c r="I36" s="570">
        <f>'6 месяцев'!J34+'6 месяцев'!M34</f>
        <v>0</v>
      </c>
      <c r="J36" s="268"/>
    </row>
    <row r="37" spans="1:10" s="290" customFormat="1" ht="15.75" thickBot="1">
      <c r="A37" s="1842" t="s">
        <v>121</v>
      </c>
      <c r="B37" s="1867" t="s">
        <v>53</v>
      </c>
      <c r="C37" s="311" t="s">
        <v>24</v>
      </c>
      <c r="D37" s="312">
        <v>6.0336499999999873</v>
      </c>
      <c r="E37" s="312">
        <v>0.15600000000000003</v>
      </c>
      <c r="F37" s="570">
        <f t="shared" si="0"/>
        <v>2.5854996560954042</v>
      </c>
      <c r="G37" s="570">
        <f t="shared" si="1"/>
        <v>0.15600000000000003</v>
      </c>
      <c r="H37" s="570">
        <f>'6 месяцев'!I35+'6 месяцев'!L35</f>
        <v>0.15600000000000003</v>
      </c>
      <c r="I37" s="570">
        <f>'6 месяцев'!J35+'6 месяцев'!M35</f>
        <v>0</v>
      </c>
      <c r="J37" s="268"/>
    </row>
    <row r="38" spans="1:10" s="290" customFormat="1" ht="15.75" thickBot="1">
      <c r="A38" s="1835"/>
      <c r="B38" s="1868"/>
      <c r="C38" s="303" t="s">
        <v>21</v>
      </c>
      <c r="D38" s="304">
        <v>10556.737500000001</v>
      </c>
      <c r="E38" s="304">
        <v>201.35799999999998</v>
      </c>
      <c r="F38" s="570">
        <f t="shared" si="0"/>
        <v>1.9073885279424627</v>
      </c>
      <c r="G38" s="570">
        <f t="shared" si="1"/>
        <v>201.35799999999998</v>
      </c>
      <c r="H38" s="570">
        <f>'6 месяцев'!I36+'6 месяцев'!L36</f>
        <v>201.35799999999998</v>
      </c>
      <c r="I38" s="570">
        <f>'6 месяцев'!J36+'6 месяцев'!M36</f>
        <v>0</v>
      </c>
      <c r="J38" s="268"/>
    </row>
    <row r="39" spans="1:10" s="290" customFormat="1" ht="15.75" thickBot="1">
      <c r="A39" s="1838" t="s">
        <v>124</v>
      </c>
      <c r="B39" s="1854" t="s">
        <v>226</v>
      </c>
      <c r="C39" s="305" t="s">
        <v>24</v>
      </c>
      <c r="D39" s="306">
        <v>64.735100000000031</v>
      </c>
      <c r="E39" s="306">
        <v>2.0868000000000002</v>
      </c>
      <c r="F39" s="570">
        <f t="shared" si="0"/>
        <v>3.2235989440041015</v>
      </c>
      <c r="G39" s="570">
        <f t="shared" si="1"/>
        <v>2.0868000000000002</v>
      </c>
      <c r="H39" s="570">
        <f>'6 месяцев'!I37+'6 месяцев'!L37</f>
        <v>2.0868000000000002</v>
      </c>
      <c r="I39" s="570">
        <f>'6 месяцев'!J37+'6 месяцев'!M37</f>
        <v>0</v>
      </c>
      <c r="J39" s="268"/>
    </row>
    <row r="40" spans="1:10" s="290" customFormat="1" ht="15.75" thickBot="1">
      <c r="A40" s="1834"/>
      <c r="B40" s="1862"/>
      <c r="C40" s="292" t="s">
        <v>56</v>
      </c>
      <c r="D40" s="293">
        <v>190</v>
      </c>
      <c r="E40" s="293">
        <v>5</v>
      </c>
      <c r="F40" s="570">
        <f t="shared" si="0"/>
        <v>2.6315789473684208</v>
      </c>
      <c r="G40" s="570">
        <f t="shared" si="1"/>
        <v>5</v>
      </c>
      <c r="H40" s="570">
        <f>'6 месяцев'!I38+'6 месяцев'!L38</f>
        <v>5</v>
      </c>
      <c r="I40" s="570">
        <f>'6 месяцев'!J38+'6 месяцев'!M38</f>
        <v>0</v>
      </c>
      <c r="J40" s="268"/>
    </row>
    <row r="41" spans="1:10" s="290" customFormat="1" ht="15.75" thickBot="1">
      <c r="A41" s="1839"/>
      <c r="B41" s="1855"/>
      <c r="C41" s="308" t="s">
        <v>21</v>
      </c>
      <c r="D41" s="309">
        <v>28894.864399999999</v>
      </c>
      <c r="E41" s="309">
        <v>657.05199999999991</v>
      </c>
      <c r="F41" s="570">
        <f t="shared" si="0"/>
        <v>2.2739404168998281</v>
      </c>
      <c r="G41" s="570">
        <f t="shared" si="1"/>
        <v>657.05199999999991</v>
      </c>
      <c r="H41" s="570">
        <f>'6 месяцев'!I39+'6 месяцев'!L39</f>
        <v>657.05199999999991</v>
      </c>
      <c r="I41" s="570">
        <f>'6 месяцев'!J39+'6 месяцев'!M39</f>
        <v>0</v>
      </c>
      <c r="J41" s="268"/>
    </row>
    <row r="42" spans="1:10" s="290" customFormat="1" ht="15.75" thickBot="1">
      <c r="A42" s="1842" t="s">
        <v>126</v>
      </c>
      <c r="B42" s="1863" t="s">
        <v>58</v>
      </c>
      <c r="C42" s="311" t="s">
        <v>24</v>
      </c>
      <c r="D42" s="312">
        <v>0.1</v>
      </c>
      <c r="E42" s="312">
        <v>0.01</v>
      </c>
      <c r="F42" s="570">
        <f t="shared" si="0"/>
        <v>10</v>
      </c>
      <c r="G42" s="570">
        <f t="shared" si="1"/>
        <v>0.01</v>
      </c>
      <c r="H42" s="570">
        <f>'6 месяцев'!I40+'6 месяцев'!L40</f>
        <v>0.01</v>
      </c>
      <c r="I42" s="570">
        <f>'6 месяцев'!J40+'6 месяцев'!M40</f>
        <v>0</v>
      </c>
      <c r="J42" s="268"/>
    </row>
    <row r="43" spans="1:10" s="290" customFormat="1" ht="15.75" thickBot="1">
      <c r="A43" s="1835"/>
      <c r="B43" s="1864"/>
      <c r="C43" s="303" t="s">
        <v>21</v>
      </c>
      <c r="D43" s="304">
        <v>40</v>
      </c>
      <c r="E43" s="304">
        <v>1.365</v>
      </c>
      <c r="F43" s="570">
        <f t="shared" si="0"/>
        <v>3.4125000000000001</v>
      </c>
      <c r="G43" s="570">
        <f t="shared" si="1"/>
        <v>1.365</v>
      </c>
      <c r="H43" s="570">
        <f>'6 месяцев'!I41+'6 месяцев'!L41</f>
        <v>1.365</v>
      </c>
      <c r="I43" s="570">
        <f>'6 месяцев'!J41+'6 месяцев'!M41</f>
        <v>0</v>
      </c>
      <c r="J43" s="268"/>
    </row>
    <row r="44" spans="1:10" s="290" customFormat="1" ht="15.75" thickBot="1">
      <c r="A44" s="1838" t="s">
        <v>227</v>
      </c>
      <c r="B44" s="1854" t="s">
        <v>228</v>
      </c>
      <c r="C44" s="305" t="s">
        <v>24</v>
      </c>
      <c r="D44" s="306">
        <v>0.3</v>
      </c>
      <c r="E44" s="306">
        <v>0.20261500000000002</v>
      </c>
      <c r="F44" s="570">
        <f t="shared" si="0"/>
        <v>67.538333333333341</v>
      </c>
      <c r="G44" s="570">
        <f t="shared" si="1"/>
        <v>0.20261500000000002</v>
      </c>
      <c r="H44" s="570">
        <f>'6 месяцев'!I42+'6 месяцев'!L42</f>
        <v>0.19761500000000001</v>
      </c>
      <c r="I44" s="570">
        <f>'6 месяцев'!J42+'6 месяцев'!M42</f>
        <v>5.0000000000000001E-3</v>
      </c>
      <c r="J44" s="268"/>
    </row>
    <row r="45" spans="1:10" s="290" customFormat="1" ht="15.75" thickBot="1">
      <c r="A45" s="1835"/>
      <c r="B45" s="1864"/>
      <c r="C45" s="303" t="s">
        <v>21</v>
      </c>
      <c r="D45" s="304">
        <v>360</v>
      </c>
      <c r="E45" s="304">
        <v>230.84200000000001</v>
      </c>
      <c r="F45" s="570">
        <f t="shared" si="0"/>
        <v>64.122777777777785</v>
      </c>
      <c r="G45" s="570">
        <f t="shared" si="1"/>
        <v>230.84200000000001</v>
      </c>
      <c r="H45" s="570">
        <f>'6 месяцев'!I43+'6 месяцев'!L43</f>
        <v>200.93</v>
      </c>
      <c r="I45" s="570">
        <f>'6 месяцев'!J43+'6 месяцев'!M43</f>
        <v>29.911999999999999</v>
      </c>
      <c r="J45" s="268"/>
    </row>
    <row r="46" spans="1:10" s="290" customFormat="1" ht="15.75" thickBot="1">
      <c r="A46" s="1838" t="s">
        <v>229</v>
      </c>
      <c r="B46" s="1858" t="s">
        <v>230</v>
      </c>
      <c r="C46" s="305" t="s">
        <v>47</v>
      </c>
      <c r="D46" s="306">
        <v>90</v>
      </c>
      <c r="E46" s="306">
        <v>55</v>
      </c>
      <c r="F46" s="570">
        <f t="shared" si="0"/>
        <v>61.111111111111114</v>
      </c>
      <c r="G46" s="570">
        <f t="shared" si="1"/>
        <v>55</v>
      </c>
      <c r="H46" s="570">
        <f>'6 месяцев'!I44+'6 месяцев'!L44</f>
        <v>55</v>
      </c>
      <c r="I46" s="570">
        <f>'6 месяцев'!J44+'6 месяцев'!M44</f>
        <v>0</v>
      </c>
      <c r="J46" s="268"/>
    </row>
    <row r="47" spans="1:10" s="290" customFormat="1" ht="15.75" thickBot="1">
      <c r="A47" s="1839"/>
      <c r="B47" s="1859"/>
      <c r="C47" s="308" t="s">
        <v>21</v>
      </c>
      <c r="D47" s="309">
        <v>60</v>
      </c>
      <c r="E47" s="309">
        <v>72.66</v>
      </c>
      <c r="F47" s="570">
        <f t="shared" si="0"/>
        <v>121.09999999999998</v>
      </c>
      <c r="G47" s="570">
        <f t="shared" si="1"/>
        <v>72.66</v>
      </c>
      <c r="H47" s="570">
        <f>'6 месяцев'!I45+'6 месяцев'!L45</f>
        <v>72.66</v>
      </c>
      <c r="I47" s="570">
        <f>'6 месяцев'!J45+'6 месяцев'!M45</f>
        <v>0</v>
      </c>
      <c r="J47" s="268"/>
    </row>
    <row r="48" spans="1:10" s="290" customFormat="1" ht="15.75" thickBot="1">
      <c r="A48" s="1842" t="s">
        <v>231</v>
      </c>
      <c r="B48" s="1860" t="s">
        <v>232</v>
      </c>
      <c r="C48" s="311" t="s">
        <v>47</v>
      </c>
      <c r="D48" s="312">
        <v>0</v>
      </c>
      <c r="E48" s="312">
        <v>0</v>
      </c>
      <c r="F48" s="570">
        <v>0</v>
      </c>
      <c r="G48" s="570">
        <f t="shared" si="1"/>
        <v>0</v>
      </c>
      <c r="H48" s="570">
        <f>'6 месяцев'!I46+'6 месяцев'!L46</f>
        <v>0</v>
      </c>
      <c r="I48" s="570">
        <f>'6 месяцев'!J46+'6 месяцев'!M46</f>
        <v>0</v>
      </c>
      <c r="J48" s="268"/>
    </row>
    <row r="49" spans="1:10" s="290" customFormat="1" ht="15.75" thickBot="1">
      <c r="A49" s="1835"/>
      <c r="B49" s="1861"/>
      <c r="C49" s="303" t="s">
        <v>21</v>
      </c>
      <c r="D49" s="304">
        <v>0</v>
      </c>
      <c r="E49" s="304">
        <v>0</v>
      </c>
      <c r="F49" s="570">
        <v>0</v>
      </c>
      <c r="G49" s="570">
        <f t="shared" si="1"/>
        <v>0</v>
      </c>
      <c r="H49" s="570">
        <f>'6 месяцев'!I47+'6 месяцев'!L47</f>
        <v>0</v>
      </c>
      <c r="I49" s="570">
        <f>'6 месяцев'!J47+'6 месяцев'!M47</f>
        <v>0</v>
      </c>
      <c r="J49" s="268"/>
    </row>
    <row r="50" spans="1:10" s="290" customFormat="1" ht="15.75" thickBot="1">
      <c r="A50" s="1838" t="s">
        <v>136</v>
      </c>
      <c r="B50" s="1840" t="s">
        <v>233</v>
      </c>
      <c r="C50" s="305" t="s">
        <v>51</v>
      </c>
      <c r="D50" s="306">
        <v>1.6666666666666667</v>
      </c>
      <c r="E50" s="306">
        <v>0</v>
      </c>
      <c r="F50" s="570">
        <f t="shared" si="0"/>
        <v>0</v>
      </c>
      <c r="G50" s="570">
        <f t="shared" si="1"/>
        <v>0</v>
      </c>
      <c r="H50" s="570">
        <f>'6 месяцев'!I48+'6 месяцев'!L48</f>
        <v>0</v>
      </c>
      <c r="I50" s="570">
        <f>'6 месяцев'!J48+'6 месяцев'!M48</f>
        <v>0</v>
      </c>
      <c r="J50" s="268"/>
    </row>
    <row r="51" spans="1:10" s="290" customFormat="1" ht="15.75" thickBot="1">
      <c r="A51" s="1839"/>
      <c r="B51" s="1841"/>
      <c r="C51" s="308" t="s">
        <v>21</v>
      </c>
      <c r="D51" s="309">
        <v>3000</v>
      </c>
      <c r="E51" s="309">
        <v>0</v>
      </c>
      <c r="F51" s="570">
        <f t="shared" si="0"/>
        <v>0</v>
      </c>
      <c r="G51" s="570">
        <f t="shared" si="1"/>
        <v>0</v>
      </c>
      <c r="H51" s="570">
        <f>'6 месяцев'!I49+'6 месяцев'!L49</f>
        <v>0</v>
      </c>
      <c r="I51" s="570">
        <f>'6 месяцев'!J49+'6 месяцев'!M49</f>
        <v>0</v>
      </c>
      <c r="J51" s="268"/>
    </row>
    <row r="52" spans="1:10" s="290" customFormat="1" ht="15.75" thickBot="1">
      <c r="A52" s="1842" t="s">
        <v>140</v>
      </c>
      <c r="B52" s="1843" t="s">
        <v>234</v>
      </c>
      <c r="C52" s="311" t="s">
        <v>47</v>
      </c>
      <c r="D52" s="312">
        <v>130</v>
      </c>
      <c r="E52" s="312">
        <v>42</v>
      </c>
      <c r="F52" s="570">
        <f t="shared" si="0"/>
        <v>32.307692307692307</v>
      </c>
      <c r="G52" s="570">
        <f t="shared" si="1"/>
        <v>42</v>
      </c>
      <c r="H52" s="570">
        <f>'6 месяцев'!I50+'6 месяцев'!L50</f>
        <v>34</v>
      </c>
      <c r="I52" s="570">
        <f>'6 месяцев'!J50+'6 месяцев'!M50</f>
        <v>8</v>
      </c>
      <c r="J52" s="268"/>
    </row>
    <row r="53" spans="1:10" s="290" customFormat="1" ht="15.75" thickBot="1">
      <c r="A53" s="1835"/>
      <c r="B53" s="1844"/>
      <c r="C53" s="303" t="s">
        <v>21</v>
      </c>
      <c r="D53" s="304">
        <v>900</v>
      </c>
      <c r="E53" s="304">
        <v>1041.6699999999998</v>
      </c>
      <c r="F53" s="570">
        <f t="shared" si="0"/>
        <v>115.7411111111111</v>
      </c>
      <c r="G53" s="570">
        <f t="shared" si="1"/>
        <v>1041.6699999999998</v>
      </c>
      <c r="H53" s="570">
        <f>'6 месяцев'!I51+'6 месяцев'!L51</f>
        <v>483.70599999999996</v>
      </c>
      <c r="I53" s="570">
        <f>'6 месяцев'!J51+'6 месяцев'!M51</f>
        <v>557.96399999999994</v>
      </c>
      <c r="J53" s="268"/>
    </row>
    <row r="54" spans="1:10" s="290" customFormat="1" ht="15.75" thickBot="1">
      <c r="A54" s="1838" t="s">
        <v>142</v>
      </c>
      <c r="B54" s="1845" t="s">
        <v>67</v>
      </c>
      <c r="C54" s="305" t="s">
        <v>47</v>
      </c>
      <c r="D54" s="306">
        <v>70</v>
      </c>
      <c r="E54" s="306">
        <v>51</v>
      </c>
      <c r="F54" s="570">
        <f t="shared" si="0"/>
        <v>72.857142857142847</v>
      </c>
      <c r="G54" s="570">
        <f t="shared" si="1"/>
        <v>51</v>
      </c>
      <c r="H54" s="570">
        <f>'6 месяцев'!I52+'6 месяцев'!L52</f>
        <v>47</v>
      </c>
      <c r="I54" s="570">
        <f>'6 месяцев'!J52+'6 месяцев'!M52</f>
        <v>4</v>
      </c>
      <c r="J54" s="268"/>
    </row>
    <row r="55" spans="1:10" s="290" customFormat="1" ht="15.75" thickBot="1">
      <c r="A55" s="1839"/>
      <c r="B55" s="1846"/>
      <c r="C55" s="308" t="s">
        <v>21</v>
      </c>
      <c r="D55" s="309">
        <v>1000</v>
      </c>
      <c r="E55" s="309">
        <v>694.35900000000004</v>
      </c>
      <c r="F55" s="570">
        <f t="shared" si="0"/>
        <v>69.435900000000004</v>
      </c>
      <c r="G55" s="570">
        <f t="shared" si="1"/>
        <v>694.35900000000015</v>
      </c>
      <c r="H55" s="570">
        <f>'6 месяцев'!I53+'6 месяцев'!L53</f>
        <v>570.15900000000011</v>
      </c>
      <c r="I55" s="570">
        <f>'6 месяцев'!J53+'6 месяцев'!M53</f>
        <v>124.19999999999999</v>
      </c>
      <c r="J55" s="268"/>
    </row>
    <row r="56" spans="1:10" s="290" customFormat="1" ht="15.75" thickBot="1">
      <c r="A56" s="1842" t="s">
        <v>235</v>
      </c>
      <c r="B56" s="1843" t="s">
        <v>236</v>
      </c>
      <c r="C56" s="311" t="s">
        <v>47</v>
      </c>
      <c r="D56" s="312">
        <v>300</v>
      </c>
      <c r="E56" s="312">
        <v>60</v>
      </c>
      <c r="F56" s="570">
        <f t="shared" si="0"/>
        <v>20</v>
      </c>
      <c r="G56" s="570">
        <f t="shared" si="1"/>
        <v>60</v>
      </c>
      <c r="H56" s="570">
        <f>'6 месяцев'!I54+'6 месяцев'!L54</f>
        <v>60</v>
      </c>
      <c r="I56" s="570">
        <f>'6 месяцев'!J54+'6 месяцев'!M54</f>
        <v>0</v>
      </c>
      <c r="J56" s="268"/>
    </row>
    <row r="57" spans="1:10" s="290" customFormat="1" ht="15.75" thickBot="1">
      <c r="A57" s="1835"/>
      <c r="B57" s="1844"/>
      <c r="C57" s="303" t="s">
        <v>21</v>
      </c>
      <c r="D57" s="304">
        <v>4000</v>
      </c>
      <c r="E57" s="304">
        <v>436.3900000000001</v>
      </c>
      <c r="F57" s="570">
        <f t="shared" si="0"/>
        <v>10.909750000000003</v>
      </c>
      <c r="G57" s="570">
        <f t="shared" si="1"/>
        <v>436.3900000000001</v>
      </c>
      <c r="H57" s="570">
        <f>'6 месяцев'!I55+'6 месяцев'!L55</f>
        <v>436.3900000000001</v>
      </c>
      <c r="I57" s="570">
        <f>'6 месяцев'!J55+'6 месяцев'!M55</f>
        <v>0</v>
      </c>
      <c r="J57" s="268"/>
    </row>
    <row r="58" spans="1:10" s="290" customFormat="1" ht="15.75" thickBot="1">
      <c r="A58" s="1838" t="s">
        <v>237</v>
      </c>
      <c r="B58" s="1854" t="s">
        <v>238</v>
      </c>
      <c r="C58" s="305" t="s">
        <v>24</v>
      </c>
      <c r="D58" s="306">
        <v>0.53870000000000018</v>
      </c>
      <c r="E58" s="306">
        <v>7.0250000000000007E-2</v>
      </c>
      <c r="F58" s="570">
        <f t="shared" si="0"/>
        <v>13.040653424911822</v>
      </c>
      <c r="G58" s="570">
        <f t="shared" si="1"/>
        <v>7.0250000000000007E-2</v>
      </c>
      <c r="H58" s="570">
        <f>'6 месяцев'!I56+'6 месяцев'!L56</f>
        <v>7.0250000000000007E-2</v>
      </c>
      <c r="I58" s="570">
        <f>'6 месяцев'!J56+'6 месяцев'!M56</f>
        <v>0</v>
      </c>
      <c r="J58" s="268"/>
    </row>
    <row r="59" spans="1:10" s="290" customFormat="1" ht="15.75" thickBot="1">
      <c r="A59" s="1839"/>
      <c r="B59" s="1855"/>
      <c r="C59" s="308" t="s">
        <v>21</v>
      </c>
      <c r="D59" s="309">
        <v>341.76400000000001</v>
      </c>
      <c r="E59" s="309">
        <v>74.986000000000004</v>
      </c>
      <c r="F59" s="570">
        <f t="shared" si="0"/>
        <v>21.940871478564155</v>
      </c>
      <c r="G59" s="570">
        <f t="shared" si="1"/>
        <v>74.986000000000004</v>
      </c>
      <c r="H59" s="570">
        <f>'6 месяцев'!I57+'6 месяцев'!L57</f>
        <v>74.986000000000004</v>
      </c>
      <c r="I59" s="570">
        <f>'6 месяцев'!J57+'6 месяцев'!M57</f>
        <v>0</v>
      </c>
      <c r="J59" s="268"/>
    </row>
    <row r="60" spans="1:10" s="290" customFormat="1" ht="15.75" thickBot="1">
      <c r="A60" s="1830" t="s">
        <v>146</v>
      </c>
      <c r="B60" s="1856" t="s">
        <v>239</v>
      </c>
      <c r="C60" s="313" t="s">
        <v>47</v>
      </c>
      <c r="D60" s="312">
        <v>6</v>
      </c>
      <c r="E60" s="312">
        <v>2</v>
      </c>
      <c r="F60" s="570">
        <f t="shared" si="0"/>
        <v>33.333333333333329</v>
      </c>
      <c r="G60" s="570">
        <f t="shared" si="1"/>
        <v>2</v>
      </c>
      <c r="H60" s="570">
        <f>'6 месяцев'!I58+'6 месяцев'!L58</f>
        <v>2</v>
      </c>
      <c r="I60" s="570">
        <f>'6 месяцев'!J58+'6 месяцев'!M58</f>
        <v>0</v>
      </c>
      <c r="J60" s="268"/>
    </row>
    <row r="61" spans="1:10" s="290" customFormat="1" ht="15.75" thickBot="1">
      <c r="A61" s="1831"/>
      <c r="B61" s="1857"/>
      <c r="C61" s="314" t="s">
        <v>21</v>
      </c>
      <c r="D61" s="304">
        <v>24</v>
      </c>
      <c r="E61" s="304">
        <v>4.7679999999999998</v>
      </c>
      <c r="F61" s="570">
        <f t="shared" si="0"/>
        <v>19.866666666666667</v>
      </c>
      <c r="G61" s="570">
        <f t="shared" si="1"/>
        <v>4.7679999999999998</v>
      </c>
      <c r="H61" s="570">
        <f>'6 месяцев'!I59+'6 месяцев'!L59</f>
        <v>4.7679999999999998</v>
      </c>
      <c r="I61" s="570">
        <f>'6 месяцев'!J59+'6 месяцев'!M59</f>
        <v>0</v>
      </c>
      <c r="J61" s="268"/>
    </row>
    <row r="62" spans="1:10" s="290" customFormat="1" ht="15.75" thickBot="1">
      <c r="A62" s="1838" t="s">
        <v>240</v>
      </c>
      <c r="B62" s="1840" t="s">
        <v>74</v>
      </c>
      <c r="C62" s="305" t="s">
        <v>47</v>
      </c>
      <c r="D62" s="306">
        <v>0</v>
      </c>
      <c r="E62" s="306">
        <v>0</v>
      </c>
      <c r="F62" s="570">
        <v>0</v>
      </c>
      <c r="G62" s="570">
        <f t="shared" si="1"/>
        <v>0</v>
      </c>
      <c r="H62" s="570">
        <f>'6 месяцев'!I60+'6 месяцев'!L60</f>
        <v>0</v>
      </c>
      <c r="I62" s="570">
        <f>'6 месяцев'!J60+'6 месяцев'!M60</f>
        <v>0</v>
      </c>
      <c r="J62" s="268"/>
    </row>
    <row r="63" spans="1:10" ht="15.75" thickBot="1">
      <c r="A63" s="1839"/>
      <c r="B63" s="1841"/>
      <c r="C63" s="308" t="s">
        <v>21</v>
      </c>
      <c r="D63" s="309">
        <v>0</v>
      </c>
      <c r="E63" s="309">
        <v>0</v>
      </c>
      <c r="F63" s="570">
        <v>0</v>
      </c>
      <c r="G63" s="570">
        <f t="shared" si="1"/>
        <v>0</v>
      </c>
      <c r="H63" s="570">
        <f>'6 месяцев'!I61+'6 месяцев'!L61</f>
        <v>0</v>
      </c>
      <c r="I63" s="570">
        <f>'6 месяцев'!J61+'6 месяцев'!M61</f>
        <v>0</v>
      </c>
    </row>
    <row r="64" spans="1:10" s="290" customFormat="1" ht="15.75" thickBot="1">
      <c r="A64" s="1842" t="s">
        <v>161</v>
      </c>
      <c r="B64" s="1843" t="s">
        <v>75</v>
      </c>
      <c r="C64" s="311" t="s">
        <v>241</v>
      </c>
      <c r="D64" s="312">
        <v>0</v>
      </c>
      <c r="E64" s="312">
        <v>0</v>
      </c>
      <c r="F64" s="570">
        <v>0</v>
      </c>
      <c r="G64" s="570">
        <f t="shared" si="1"/>
        <v>0</v>
      </c>
      <c r="H64" s="570">
        <f>'6 месяцев'!I62+'6 месяцев'!L62</f>
        <v>0</v>
      </c>
      <c r="I64" s="570">
        <f>'6 месяцев'!J62+'6 месяцев'!M62</f>
        <v>0</v>
      </c>
      <c r="J64" s="268"/>
    </row>
    <row r="65" spans="1:10" s="290" customFormat="1" ht="15.75" thickBot="1">
      <c r="A65" s="1835"/>
      <c r="B65" s="1844"/>
      <c r="C65" s="303" t="s">
        <v>21</v>
      </c>
      <c r="D65" s="304">
        <v>0</v>
      </c>
      <c r="E65" s="304">
        <v>0</v>
      </c>
      <c r="F65" s="570">
        <v>0</v>
      </c>
      <c r="G65" s="570">
        <f t="shared" si="1"/>
        <v>0</v>
      </c>
      <c r="H65" s="570">
        <f>'6 месяцев'!I63+'6 месяцев'!L63</f>
        <v>0</v>
      </c>
      <c r="I65" s="570">
        <f>'6 месяцев'!J63+'6 месяцев'!M63</f>
        <v>0</v>
      </c>
      <c r="J65" s="268"/>
    </row>
    <row r="66" spans="1:10" s="290" customFormat="1" ht="15.75" thickBot="1">
      <c r="A66" s="1838" t="s">
        <v>165</v>
      </c>
      <c r="B66" s="1845" t="s">
        <v>76</v>
      </c>
      <c r="C66" s="305" t="s">
        <v>47</v>
      </c>
      <c r="D66" s="307">
        <v>0</v>
      </c>
      <c r="E66" s="307">
        <v>0</v>
      </c>
      <c r="F66" s="570">
        <v>0</v>
      </c>
      <c r="G66" s="570">
        <f t="shared" si="1"/>
        <v>0</v>
      </c>
      <c r="H66" s="570">
        <f>'6 месяцев'!I64+'6 месяцев'!L64</f>
        <v>0</v>
      </c>
      <c r="I66" s="570">
        <f>'6 месяцев'!J64+'6 месяцев'!M64</f>
        <v>0</v>
      </c>
      <c r="J66" s="268"/>
    </row>
    <row r="67" spans="1:10" s="290" customFormat="1" ht="15.75" thickBot="1">
      <c r="A67" s="1839"/>
      <c r="B67" s="1846"/>
      <c r="C67" s="308" t="s">
        <v>21</v>
      </c>
      <c r="D67" s="310">
        <v>0</v>
      </c>
      <c r="E67" s="310">
        <v>0</v>
      </c>
      <c r="F67" s="570">
        <v>0</v>
      </c>
      <c r="G67" s="570">
        <f t="shared" si="1"/>
        <v>0</v>
      </c>
      <c r="H67" s="570">
        <f>'6 месяцев'!I65+'6 месяцев'!L65</f>
        <v>0</v>
      </c>
      <c r="I67" s="570">
        <f>'6 месяцев'!J65+'6 месяцев'!M65</f>
        <v>0</v>
      </c>
      <c r="J67" s="268"/>
    </row>
    <row r="68" spans="1:10" s="290" customFormat="1" ht="15.75" thickBot="1">
      <c r="A68" s="1842" t="s">
        <v>242</v>
      </c>
      <c r="B68" s="1843" t="s">
        <v>77</v>
      </c>
      <c r="C68" s="311" t="s">
        <v>47</v>
      </c>
      <c r="D68" s="312">
        <v>10</v>
      </c>
      <c r="E68" s="312">
        <v>8</v>
      </c>
      <c r="F68" s="570">
        <f t="shared" si="0"/>
        <v>80</v>
      </c>
      <c r="G68" s="570">
        <f t="shared" si="1"/>
        <v>8</v>
      </c>
      <c r="H68" s="570">
        <f>'6 месяцев'!I66+'6 месяцев'!L66</f>
        <v>8</v>
      </c>
      <c r="I68" s="570">
        <f>'6 месяцев'!J66+'6 месяцев'!M66</f>
        <v>0</v>
      </c>
      <c r="J68" s="268"/>
    </row>
    <row r="69" spans="1:10" s="290" customFormat="1" ht="15.75" thickBot="1">
      <c r="A69" s="1835"/>
      <c r="B69" s="1844"/>
      <c r="C69" s="303" t="s">
        <v>21</v>
      </c>
      <c r="D69" s="304">
        <v>1.5</v>
      </c>
      <c r="E69" s="304">
        <v>10.434000000000001</v>
      </c>
      <c r="F69" s="570">
        <f t="shared" si="0"/>
        <v>695.6</v>
      </c>
      <c r="G69" s="570">
        <f t="shared" si="1"/>
        <v>10.434000000000001</v>
      </c>
      <c r="H69" s="570">
        <f>'6 месяцев'!I67+'6 месяцев'!L67</f>
        <v>10.434000000000001</v>
      </c>
      <c r="I69" s="570">
        <f>'6 месяцев'!J67+'6 месяцев'!M67</f>
        <v>0</v>
      </c>
      <c r="J69" s="268"/>
    </row>
    <row r="70" spans="1:10" s="290" customFormat="1" ht="15.75" thickBot="1">
      <c r="A70" s="1838" t="s">
        <v>243</v>
      </c>
      <c r="B70" s="1845" t="s">
        <v>78</v>
      </c>
      <c r="C70" s="305" t="s">
        <v>244</v>
      </c>
      <c r="D70" s="306">
        <v>0</v>
      </c>
      <c r="E70" s="306">
        <v>0</v>
      </c>
      <c r="F70" s="570">
        <v>0</v>
      </c>
      <c r="G70" s="570">
        <f t="shared" si="1"/>
        <v>0</v>
      </c>
      <c r="H70" s="570">
        <f>'6 месяцев'!I68+'6 месяцев'!L68</f>
        <v>0</v>
      </c>
      <c r="I70" s="570">
        <f>'6 месяцев'!J68+'6 месяцев'!M68</f>
        <v>0</v>
      </c>
      <c r="J70" s="268"/>
    </row>
    <row r="71" spans="1:10" s="290" customFormat="1" ht="15.75" thickBot="1">
      <c r="A71" s="1839"/>
      <c r="B71" s="1846"/>
      <c r="C71" s="308" t="s">
        <v>21</v>
      </c>
      <c r="D71" s="309">
        <v>0</v>
      </c>
      <c r="E71" s="309">
        <v>0</v>
      </c>
      <c r="F71" s="570">
        <v>0</v>
      </c>
      <c r="G71" s="570">
        <f t="shared" si="1"/>
        <v>0</v>
      </c>
      <c r="H71" s="570">
        <f>'6 месяцев'!I69+'6 месяцев'!L69</f>
        <v>0</v>
      </c>
      <c r="I71" s="570">
        <f>'6 месяцев'!J69+'6 месяцев'!M69</f>
        <v>0</v>
      </c>
      <c r="J71" s="268"/>
    </row>
    <row r="72" spans="1:10" s="290" customFormat="1" ht="15.75" thickBot="1">
      <c r="A72" s="1847" t="s">
        <v>245</v>
      </c>
      <c r="B72" s="1849" t="s">
        <v>80</v>
      </c>
      <c r="C72" s="292" t="s">
        <v>241</v>
      </c>
      <c r="D72" s="293">
        <v>1.8181818181818181</v>
      </c>
      <c r="E72" s="293">
        <v>0</v>
      </c>
      <c r="F72" s="570">
        <f t="shared" si="0"/>
        <v>0</v>
      </c>
      <c r="G72" s="570">
        <f t="shared" si="1"/>
        <v>0</v>
      </c>
      <c r="H72" s="570">
        <f>'6 месяцев'!I70+'6 месяцев'!L70</f>
        <v>0</v>
      </c>
      <c r="I72" s="570">
        <f>'6 месяцев'!J70+'6 месяцев'!M70</f>
        <v>0</v>
      </c>
      <c r="J72" s="268"/>
    </row>
    <row r="73" spans="1:10" s="290" customFormat="1" ht="15.75" thickBot="1">
      <c r="A73" s="1848"/>
      <c r="B73" s="1846"/>
      <c r="C73" s="308" t="s">
        <v>21</v>
      </c>
      <c r="D73" s="309">
        <v>2000</v>
      </c>
      <c r="E73" s="309">
        <v>0</v>
      </c>
      <c r="F73" s="570">
        <f t="shared" si="0"/>
        <v>0</v>
      </c>
      <c r="G73" s="570">
        <f t="shared" si="1"/>
        <v>0</v>
      </c>
      <c r="H73" s="570">
        <f>'6 месяцев'!I71+'6 месяцев'!L71</f>
        <v>0</v>
      </c>
      <c r="I73" s="570">
        <f>'6 месяцев'!J71+'6 месяцев'!M71</f>
        <v>0</v>
      </c>
      <c r="J73" s="268"/>
    </row>
    <row r="74" spans="1:10" s="290" customFormat="1" ht="15.75" thickBot="1">
      <c r="A74" s="315" t="s">
        <v>81</v>
      </c>
      <c r="B74" s="316" t="s">
        <v>82</v>
      </c>
      <c r="C74" s="317" t="s">
        <v>21</v>
      </c>
      <c r="D74" s="318">
        <v>33260</v>
      </c>
      <c r="E74" s="318">
        <v>4552.8914999999997</v>
      </c>
      <c r="F74" s="570">
        <f t="shared" si="0"/>
        <v>13.688789837642815</v>
      </c>
      <c r="G74" s="570">
        <f t="shared" si="1"/>
        <v>4552.8914999999997</v>
      </c>
      <c r="H74" s="570">
        <f>'6 месяцев'!I72+'6 месяцев'!L72</f>
        <v>4552.8914999999997</v>
      </c>
      <c r="I74" s="570">
        <f>'6 месяцев'!J72+'6 месяцев'!M72</f>
        <v>0</v>
      </c>
      <c r="J74" s="268"/>
    </row>
    <row r="75" spans="1:10" s="290" customFormat="1" ht="15.75" thickBot="1">
      <c r="A75" s="1850" t="s">
        <v>104</v>
      </c>
      <c r="B75" s="1852" t="s">
        <v>246</v>
      </c>
      <c r="C75" s="319" t="s">
        <v>51</v>
      </c>
      <c r="D75" s="320">
        <v>17.100000000000001</v>
      </c>
      <c r="E75" s="320">
        <v>3.0115499999999997</v>
      </c>
      <c r="F75" s="570">
        <f t="shared" si="0"/>
        <v>17.611403508771929</v>
      </c>
      <c r="G75" s="570">
        <f t="shared" si="1"/>
        <v>3.0115499999999997</v>
      </c>
      <c r="H75" s="570">
        <f>'6 месяцев'!I73+'6 месяцев'!L73</f>
        <v>3.0115499999999997</v>
      </c>
      <c r="I75" s="570">
        <f>'6 месяцев'!J73+'6 месяцев'!M73</f>
        <v>0</v>
      </c>
      <c r="J75" s="268"/>
    </row>
    <row r="76" spans="1:10" s="290" customFormat="1" ht="15.75" thickBot="1">
      <c r="A76" s="1851"/>
      <c r="B76" s="1853"/>
      <c r="C76" s="288" t="s">
        <v>21</v>
      </c>
      <c r="D76" s="321">
        <v>29460</v>
      </c>
      <c r="E76" s="321">
        <v>3581.2804999999998</v>
      </c>
      <c r="F76" s="570">
        <f t="shared" si="0"/>
        <v>12.156417175831635</v>
      </c>
      <c r="G76" s="570">
        <f t="shared" si="1"/>
        <v>3581.2804999999998</v>
      </c>
      <c r="H76" s="570">
        <f>'6 месяцев'!I74+'6 месяцев'!L74</f>
        <v>3581.2804999999998</v>
      </c>
      <c r="I76" s="570">
        <f>'6 месяцев'!J74+'6 месяцев'!M74</f>
        <v>0</v>
      </c>
      <c r="J76" s="268"/>
    </row>
    <row r="77" spans="1:10" ht="15.75" thickBot="1">
      <c r="A77" s="1834" t="s">
        <v>247</v>
      </c>
      <c r="B77" s="1836" t="s">
        <v>86</v>
      </c>
      <c r="C77" s="292" t="s">
        <v>87</v>
      </c>
      <c r="D77" s="293">
        <v>5</v>
      </c>
      <c r="E77" s="293">
        <v>0.24949999999999997</v>
      </c>
      <c r="F77" s="570">
        <f t="shared" si="0"/>
        <v>4.9899999999999993</v>
      </c>
      <c r="G77" s="570">
        <f t="shared" si="1"/>
        <v>0.24949999999999997</v>
      </c>
      <c r="H77" s="570">
        <f>'6 месяцев'!I75+'6 месяцев'!L75</f>
        <v>0.24949999999999997</v>
      </c>
      <c r="I77" s="570">
        <f>'6 месяцев'!J75+'6 месяцев'!M75</f>
        <v>0</v>
      </c>
    </row>
    <row r="78" spans="1:10" ht="15.75" thickBot="1">
      <c r="A78" s="1834"/>
      <c r="B78" s="1836"/>
      <c r="C78" s="292" t="s">
        <v>21</v>
      </c>
      <c r="D78" s="293">
        <v>8500</v>
      </c>
      <c r="E78" s="293">
        <v>198.00800000000004</v>
      </c>
      <c r="F78" s="570">
        <f t="shared" si="0"/>
        <v>2.3295058823529415</v>
      </c>
      <c r="G78" s="570">
        <f t="shared" si="1"/>
        <v>198.00800000000004</v>
      </c>
      <c r="H78" s="570">
        <f>'6 месяцев'!I76+'6 месяцев'!L76</f>
        <v>198.00800000000004</v>
      </c>
      <c r="I78" s="570">
        <f>'6 месяцев'!J76+'6 месяцев'!M76</f>
        <v>0</v>
      </c>
    </row>
    <row r="79" spans="1:10" ht="15.75" thickBot="1">
      <c r="A79" s="1834" t="s">
        <v>248</v>
      </c>
      <c r="B79" s="1836" t="s">
        <v>89</v>
      </c>
      <c r="C79" s="292" t="s">
        <v>51</v>
      </c>
      <c r="D79" s="293">
        <v>4.9000000000000004</v>
      </c>
      <c r="E79" s="293">
        <v>0.93330000000000002</v>
      </c>
      <c r="F79" s="570">
        <f t="shared" si="0"/>
        <v>19.046938775510203</v>
      </c>
      <c r="G79" s="570">
        <f t="shared" si="1"/>
        <v>0.93330000000000002</v>
      </c>
      <c r="H79" s="570">
        <f>'6 месяцев'!I77+'6 месяцев'!L77</f>
        <v>0.93330000000000002</v>
      </c>
      <c r="I79" s="570">
        <f>'6 месяцев'!J77+'6 месяцев'!M77</f>
        <v>0</v>
      </c>
    </row>
    <row r="80" spans="1:10" ht="15.75" thickBot="1">
      <c r="A80" s="1834"/>
      <c r="B80" s="1836"/>
      <c r="C80" s="292" t="s">
        <v>21</v>
      </c>
      <c r="D80" s="293">
        <v>8330</v>
      </c>
      <c r="E80" s="293">
        <v>782.995</v>
      </c>
      <c r="F80" s="570">
        <f t="shared" ref="F80:F100" si="2">E80/D80*100</f>
        <v>9.3996998799519815</v>
      </c>
      <c r="G80" s="570">
        <f t="shared" ref="G80:G100" si="3">H80+I80</f>
        <v>782.995</v>
      </c>
      <c r="H80" s="570">
        <f>'6 месяцев'!I78+'6 месяцев'!L78</f>
        <v>782.995</v>
      </c>
      <c r="I80" s="570">
        <f>'6 месяцев'!J78+'6 месяцев'!M78</f>
        <v>0</v>
      </c>
    </row>
    <row r="81" spans="1:10" ht="15.75" thickBot="1">
      <c r="A81" s="1834" t="s">
        <v>249</v>
      </c>
      <c r="B81" s="1836" t="s">
        <v>91</v>
      </c>
      <c r="C81" s="292" t="s">
        <v>51</v>
      </c>
      <c r="D81" s="293">
        <v>3.3</v>
      </c>
      <c r="E81" s="293">
        <v>0.86949999999999972</v>
      </c>
      <c r="F81" s="570">
        <f t="shared" si="2"/>
        <v>26.348484848484844</v>
      </c>
      <c r="G81" s="570">
        <f t="shared" si="3"/>
        <v>0.86949999999999972</v>
      </c>
      <c r="H81" s="570">
        <f>'6 месяцев'!I79+'6 месяцев'!L79</f>
        <v>0.86949999999999972</v>
      </c>
      <c r="I81" s="570">
        <f>'6 месяцев'!J79+'6 месяцев'!M79</f>
        <v>0</v>
      </c>
    </row>
    <row r="82" spans="1:10" ht="15.75" thickBot="1">
      <c r="A82" s="1834"/>
      <c r="B82" s="1836"/>
      <c r="C82" s="292" t="s">
        <v>21</v>
      </c>
      <c r="D82" s="293">
        <v>5610</v>
      </c>
      <c r="E82" s="293">
        <v>786.87999999999988</v>
      </c>
      <c r="F82" s="570">
        <f t="shared" si="2"/>
        <v>14.026381461675577</v>
      </c>
      <c r="G82" s="570">
        <f t="shared" si="3"/>
        <v>786.87999999999988</v>
      </c>
      <c r="H82" s="570">
        <f>'6 месяцев'!I80+'6 месяцев'!L80</f>
        <v>786.87999999999988</v>
      </c>
      <c r="I82" s="570">
        <f>'6 месяцев'!J80+'6 месяцев'!M80</f>
        <v>0</v>
      </c>
    </row>
    <row r="83" spans="1:10" ht="15.75" thickBot="1">
      <c r="A83" s="1834" t="s">
        <v>250</v>
      </c>
      <c r="B83" s="1836" t="s">
        <v>93</v>
      </c>
      <c r="C83" s="292" t="s">
        <v>51</v>
      </c>
      <c r="D83" s="293">
        <v>3.9</v>
      </c>
      <c r="E83" s="293">
        <v>0.95925000000000005</v>
      </c>
      <c r="F83" s="570">
        <f t="shared" si="2"/>
        <v>24.596153846153847</v>
      </c>
      <c r="G83" s="570">
        <f t="shared" si="3"/>
        <v>0.95925000000000005</v>
      </c>
      <c r="H83" s="570">
        <f>'6 месяцев'!I81+'6 месяцев'!L81</f>
        <v>0.95925000000000005</v>
      </c>
      <c r="I83" s="570">
        <f>'6 месяцев'!J81+'6 месяцев'!M81</f>
        <v>0</v>
      </c>
    </row>
    <row r="84" spans="1:10" ht="15.75" thickBot="1">
      <c r="A84" s="1835"/>
      <c r="B84" s="1837"/>
      <c r="C84" s="303" t="s">
        <v>21</v>
      </c>
      <c r="D84" s="322">
        <v>7020</v>
      </c>
      <c r="E84" s="322">
        <v>1813.3975</v>
      </c>
      <c r="F84" s="570">
        <f t="shared" si="2"/>
        <v>25.831873219373218</v>
      </c>
      <c r="G84" s="570">
        <f t="shared" si="3"/>
        <v>1813.3975</v>
      </c>
      <c r="H84" s="570">
        <f>'6 месяцев'!I82+'6 месяцев'!L82</f>
        <v>1813.3975</v>
      </c>
      <c r="I84" s="570">
        <f>'6 месяцев'!J82+'6 месяцев'!M82</f>
        <v>0</v>
      </c>
    </row>
    <row r="85" spans="1:10" ht="15.75" thickBot="1">
      <c r="A85" s="1838" t="s">
        <v>108</v>
      </c>
      <c r="B85" s="1840" t="s">
        <v>94</v>
      </c>
      <c r="C85" s="305" t="s">
        <v>47</v>
      </c>
      <c r="D85" s="306">
        <v>300</v>
      </c>
      <c r="E85" s="306">
        <v>90</v>
      </c>
      <c r="F85" s="570">
        <f t="shared" si="2"/>
        <v>30</v>
      </c>
      <c r="G85" s="570">
        <f t="shared" si="3"/>
        <v>90</v>
      </c>
      <c r="H85" s="570">
        <f>'6 месяцев'!I83+'6 месяцев'!L83</f>
        <v>90</v>
      </c>
      <c r="I85" s="570">
        <f>'6 месяцев'!J83+'6 месяцев'!M83</f>
        <v>0</v>
      </c>
    </row>
    <row r="86" spans="1:10" ht="15.75" thickBot="1">
      <c r="A86" s="1839"/>
      <c r="B86" s="1841"/>
      <c r="C86" s="308" t="s">
        <v>21</v>
      </c>
      <c r="D86" s="309">
        <v>2000</v>
      </c>
      <c r="E86" s="309">
        <v>552.02099999999996</v>
      </c>
      <c r="F86" s="570">
        <f t="shared" si="2"/>
        <v>27.601050000000001</v>
      </c>
      <c r="G86" s="570">
        <f t="shared" si="3"/>
        <v>552.02099999999996</v>
      </c>
      <c r="H86" s="570">
        <f>'6 месяцев'!I84+'6 месяцев'!L84</f>
        <v>552.02099999999996</v>
      </c>
      <c r="I86" s="570">
        <f>'6 месяцев'!J84+'6 месяцев'!M84</f>
        <v>0</v>
      </c>
    </row>
    <row r="87" spans="1:10" ht="15.75" thickBot="1">
      <c r="A87" s="1842" t="s">
        <v>109</v>
      </c>
      <c r="B87" s="1843" t="s">
        <v>251</v>
      </c>
      <c r="C87" s="311" t="s">
        <v>47</v>
      </c>
      <c r="D87" s="312">
        <v>1400</v>
      </c>
      <c r="E87" s="312">
        <v>466</v>
      </c>
      <c r="F87" s="570">
        <f t="shared" si="2"/>
        <v>33.285714285714285</v>
      </c>
      <c r="G87" s="570">
        <f t="shared" si="3"/>
        <v>466</v>
      </c>
      <c r="H87" s="570">
        <f>'6 месяцев'!I85+'6 месяцев'!L85</f>
        <v>466</v>
      </c>
      <c r="I87" s="570">
        <f>'6 месяцев'!J85+'6 месяцев'!M85</f>
        <v>0</v>
      </c>
    </row>
    <row r="88" spans="1:10" ht="15.75" thickBot="1">
      <c r="A88" s="1835"/>
      <c r="B88" s="1844"/>
      <c r="C88" s="303" t="s">
        <v>21</v>
      </c>
      <c r="D88" s="304">
        <v>1800</v>
      </c>
      <c r="E88" s="304">
        <v>419.58999999999992</v>
      </c>
      <c r="F88" s="570">
        <f t="shared" si="2"/>
        <v>23.310555555555553</v>
      </c>
      <c r="G88" s="570">
        <f t="shared" si="3"/>
        <v>419.58999999999992</v>
      </c>
      <c r="H88" s="570">
        <f>'6 месяцев'!I86+'6 месяцев'!L86</f>
        <v>419.58999999999992</v>
      </c>
      <c r="I88" s="570">
        <f>'6 месяцев'!J86+'6 месяцев'!M86</f>
        <v>0</v>
      </c>
    </row>
    <row r="89" spans="1:10" s="290" customFormat="1" ht="15.75" thickBot="1">
      <c r="A89" s="323" t="s">
        <v>98</v>
      </c>
      <c r="B89" s="324" t="s">
        <v>99</v>
      </c>
      <c r="C89" s="325" t="s">
        <v>21</v>
      </c>
      <c r="D89" s="326">
        <v>3800</v>
      </c>
      <c r="E89" s="326">
        <v>2569.1259999999993</v>
      </c>
      <c r="F89" s="570">
        <f t="shared" si="2"/>
        <v>67.6085789473684</v>
      </c>
      <c r="G89" s="570">
        <f t="shared" si="3"/>
        <v>2569.1259999999993</v>
      </c>
      <c r="H89" s="570">
        <f>'6 месяцев'!I87+'6 месяцев'!L87</f>
        <v>2569.1259999999993</v>
      </c>
      <c r="I89" s="570">
        <f>'6 месяцев'!J87+'6 месяцев'!M87</f>
        <v>0</v>
      </c>
      <c r="J89" s="268"/>
    </row>
    <row r="90" spans="1:10" s="290" customFormat="1" ht="15.75" thickBot="1">
      <c r="A90" s="1822">
        <v>25</v>
      </c>
      <c r="B90" s="1824" t="s">
        <v>252</v>
      </c>
      <c r="C90" s="313" t="s">
        <v>51</v>
      </c>
      <c r="D90" s="327">
        <v>3.5</v>
      </c>
      <c r="E90" s="327">
        <v>1.9270000000000003</v>
      </c>
      <c r="F90" s="570">
        <f t="shared" si="2"/>
        <v>55.057142857142857</v>
      </c>
      <c r="G90" s="570">
        <f t="shared" si="3"/>
        <v>1.9270000000000003</v>
      </c>
      <c r="H90" s="570">
        <f>'6 месяцев'!I88+'6 месяцев'!L88</f>
        <v>1.9270000000000003</v>
      </c>
      <c r="I90" s="570">
        <f>'6 месяцев'!J88+'6 месяцев'!M88</f>
        <v>0</v>
      </c>
      <c r="J90" s="268"/>
    </row>
    <row r="91" spans="1:10" s="290" customFormat="1" ht="15.75" thickBot="1">
      <c r="A91" s="1823"/>
      <c r="B91" s="1825"/>
      <c r="C91" s="314" t="s">
        <v>21</v>
      </c>
      <c r="D91" s="328">
        <v>600</v>
      </c>
      <c r="E91" s="328">
        <v>343.89599999999996</v>
      </c>
      <c r="F91" s="570">
        <f t="shared" si="2"/>
        <v>57.315999999999988</v>
      </c>
      <c r="G91" s="570">
        <f t="shared" si="3"/>
        <v>343.89599999999996</v>
      </c>
      <c r="H91" s="570">
        <f>'6 месяцев'!I89+'6 месяцев'!L89</f>
        <v>343.89599999999996</v>
      </c>
      <c r="I91" s="570">
        <f>'6 месяцев'!J89+'6 месяцев'!M89</f>
        <v>0</v>
      </c>
      <c r="J91" s="268"/>
    </row>
    <row r="92" spans="1:10" s="290" customFormat="1" ht="15.75" thickBot="1">
      <c r="A92" s="1826">
        <v>26</v>
      </c>
      <c r="B92" s="1828" t="s">
        <v>253</v>
      </c>
      <c r="C92" s="329" t="s">
        <v>47</v>
      </c>
      <c r="D92" s="330">
        <v>2000</v>
      </c>
      <c r="E92" s="330">
        <v>1843</v>
      </c>
      <c r="F92" s="570">
        <f t="shared" si="2"/>
        <v>92.15</v>
      </c>
      <c r="G92" s="570">
        <f t="shared" si="3"/>
        <v>1843</v>
      </c>
      <c r="H92" s="570">
        <f>'6 месяцев'!I90+'6 месяцев'!L90</f>
        <v>1843</v>
      </c>
      <c r="I92" s="570">
        <f>'6 месяцев'!J90+'6 месяцев'!M90</f>
        <v>0</v>
      </c>
      <c r="J92" s="268"/>
    </row>
    <row r="93" spans="1:10" s="290" customFormat="1" ht="15.75" thickBot="1">
      <c r="A93" s="1827"/>
      <c r="B93" s="1829"/>
      <c r="C93" s="331" t="s">
        <v>21</v>
      </c>
      <c r="D93" s="332">
        <v>1900</v>
      </c>
      <c r="E93" s="332">
        <v>1776.0279999999996</v>
      </c>
      <c r="F93" s="570">
        <f t="shared" si="2"/>
        <v>93.47515789473681</v>
      </c>
      <c r="G93" s="570">
        <f t="shared" si="3"/>
        <v>1776.0279999999996</v>
      </c>
      <c r="H93" s="570">
        <f>'6 месяцев'!I91+'6 месяцев'!L91</f>
        <v>1776.0279999999996</v>
      </c>
      <c r="I93" s="570">
        <f>'6 месяцев'!J91+'6 месяцев'!M91</f>
        <v>0</v>
      </c>
      <c r="J93" s="268"/>
    </row>
    <row r="94" spans="1:10" s="290" customFormat="1" ht="15.75" thickBot="1">
      <c r="A94" s="1830" t="s">
        <v>254</v>
      </c>
      <c r="B94" s="1832" t="s">
        <v>105</v>
      </c>
      <c r="C94" s="313" t="s">
        <v>47</v>
      </c>
      <c r="D94" s="327">
        <v>300</v>
      </c>
      <c r="E94" s="327">
        <v>118</v>
      </c>
      <c r="F94" s="570">
        <f t="shared" si="2"/>
        <v>39.333333333333329</v>
      </c>
      <c r="G94" s="570">
        <f t="shared" si="3"/>
        <v>118</v>
      </c>
      <c r="H94" s="570">
        <f>'6 месяцев'!I92+'6 месяцев'!L92</f>
        <v>118</v>
      </c>
      <c r="I94" s="570">
        <f>'6 месяцев'!J92+'6 месяцев'!M92</f>
        <v>0</v>
      </c>
      <c r="J94" s="268"/>
    </row>
    <row r="95" spans="1:10" s="290" customFormat="1" ht="15.75" thickBot="1">
      <c r="A95" s="1831"/>
      <c r="B95" s="1833"/>
      <c r="C95" s="314" t="s">
        <v>21</v>
      </c>
      <c r="D95" s="328">
        <v>2524</v>
      </c>
      <c r="E95" s="328">
        <v>449.202</v>
      </c>
      <c r="F95" s="570">
        <f t="shared" si="2"/>
        <v>17.797226624405702</v>
      </c>
      <c r="G95" s="570">
        <f t="shared" si="3"/>
        <v>449.202</v>
      </c>
      <c r="H95" s="570">
        <f>'6 месяцев'!I93+'6 месяцев'!L93</f>
        <v>449.202</v>
      </c>
      <c r="I95" s="570">
        <f>'6 месяцев'!J93+'6 месяцев'!M93</f>
        <v>0</v>
      </c>
      <c r="J95" s="268"/>
    </row>
    <row r="96" spans="1:10" s="290" customFormat="1" ht="43.5" thickBot="1">
      <c r="A96" s="323" t="s">
        <v>106</v>
      </c>
      <c r="B96" s="333" t="s">
        <v>107</v>
      </c>
      <c r="C96" s="334" t="s">
        <v>21</v>
      </c>
      <c r="D96" s="326">
        <v>1224</v>
      </c>
      <c r="E96" s="326">
        <v>0</v>
      </c>
      <c r="F96" s="570">
        <f t="shared" si="2"/>
        <v>0</v>
      </c>
      <c r="G96" s="570">
        <f t="shared" si="3"/>
        <v>0</v>
      </c>
      <c r="H96" s="570">
        <f>'6 месяцев'!I94+'6 месяцев'!L94</f>
        <v>0</v>
      </c>
      <c r="I96" s="570">
        <f>'6 месяцев'!J94+'6 месяцев'!M94</f>
        <v>0</v>
      </c>
      <c r="J96" s="268"/>
    </row>
    <row r="97" spans="1:10" s="290" customFormat="1" ht="15.75" thickBot="1">
      <c r="A97" s="335" t="s">
        <v>255</v>
      </c>
      <c r="B97" s="336" t="s">
        <v>256</v>
      </c>
      <c r="C97" s="337" t="s">
        <v>21</v>
      </c>
      <c r="D97" s="338">
        <v>1224</v>
      </c>
      <c r="E97" s="338">
        <v>0</v>
      </c>
      <c r="F97" s="570">
        <f t="shared" si="2"/>
        <v>0</v>
      </c>
      <c r="G97" s="570">
        <f t="shared" si="3"/>
        <v>0</v>
      </c>
      <c r="H97" s="570">
        <f>'6 месяцев'!I95+'6 месяцев'!L95</f>
        <v>0</v>
      </c>
      <c r="I97" s="570">
        <f>'6 месяцев'!J95+'6 месяцев'!M95</f>
        <v>0</v>
      </c>
      <c r="J97" s="268"/>
    </row>
    <row r="98" spans="1:10" s="290" customFormat="1" ht="15.75" thickBot="1">
      <c r="A98" s="335" t="s">
        <v>257</v>
      </c>
      <c r="B98" s="336" t="s">
        <v>258</v>
      </c>
      <c r="C98" s="337" t="s">
        <v>21</v>
      </c>
      <c r="D98" s="338">
        <v>0</v>
      </c>
      <c r="E98" s="338">
        <v>0</v>
      </c>
      <c r="F98" s="570">
        <v>0</v>
      </c>
      <c r="G98" s="570">
        <f t="shared" si="3"/>
        <v>0</v>
      </c>
      <c r="H98" s="570">
        <f>'6 месяцев'!I96+'6 месяцев'!L96</f>
        <v>0</v>
      </c>
      <c r="I98" s="570">
        <f>'6 месяцев'!J96+'6 месяцев'!M96</f>
        <v>0</v>
      </c>
      <c r="J98" s="268"/>
    </row>
    <row r="99" spans="1:10" s="290" customFormat="1" ht="15.75" thickBot="1">
      <c r="A99" s="315" t="s">
        <v>259</v>
      </c>
      <c r="B99" s="339" t="s">
        <v>111</v>
      </c>
      <c r="C99" s="317" t="s">
        <v>21</v>
      </c>
      <c r="D99" s="340">
        <v>20224.418999999994</v>
      </c>
      <c r="E99" s="340">
        <v>635.96199999999999</v>
      </c>
      <c r="F99" s="570">
        <f t="shared" si="2"/>
        <v>3.1445254372943925</v>
      </c>
      <c r="G99" s="570">
        <f t="shared" si="3"/>
        <v>635.96199999999999</v>
      </c>
      <c r="H99" s="570">
        <f>'6 месяцев'!I97+'6 месяцев'!L97</f>
        <v>635.96199999999999</v>
      </c>
      <c r="I99" s="570">
        <f>'6 месяцев'!J97+'6 месяцев'!M97</f>
        <v>0</v>
      </c>
      <c r="J99" s="268"/>
    </row>
    <row r="100" spans="1:10" s="290" customFormat="1" ht="15.75" thickBot="1">
      <c r="A100" s="341"/>
      <c r="B100" s="342" t="s">
        <v>112</v>
      </c>
      <c r="C100" s="343" t="s">
        <v>21</v>
      </c>
      <c r="D100" s="344">
        <v>115881.18489999999</v>
      </c>
      <c r="E100" s="344">
        <v>12158.770499999999</v>
      </c>
      <c r="F100" s="570">
        <f t="shared" si="2"/>
        <v>10.492445784440713</v>
      </c>
      <c r="G100" s="570">
        <f t="shared" si="3"/>
        <v>12158.770499999999</v>
      </c>
      <c r="H100" s="570">
        <f>'6 месяцев'!I98+'6 месяцев'!L98</f>
        <v>11446.694499999998</v>
      </c>
      <c r="I100" s="570">
        <f>'6 месяцев'!J98+'6 месяцев'!M98</f>
        <v>712.07600000000002</v>
      </c>
      <c r="J100" s="268"/>
    </row>
    <row r="101" spans="1:10" s="290" customFormat="1" ht="15">
      <c r="A101" s="345"/>
      <c r="B101" s="346"/>
      <c r="C101" s="347"/>
      <c r="D101" s="348"/>
      <c r="E101" s="348"/>
      <c r="F101" s="348"/>
      <c r="G101" s="348"/>
      <c r="H101" s="349"/>
      <c r="I101" s="349"/>
    </row>
    <row r="102" spans="1:10" ht="15">
      <c r="A102" s="350"/>
      <c r="B102" s="350"/>
      <c r="C102" s="350"/>
      <c r="D102" s="351"/>
      <c r="E102" s="351"/>
      <c r="F102" s="571"/>
      <c r="G102" s="571"/>
      <c r="H102" s="572"/>
      <c r="I102" s="572"/>
    </row>
    <row r="103" spans="1:10" ht="14.25">
      <c r="A103" s="1821" t="s">
        <v>113</v>
      </c>
      <c r="B103" s="1821"/>
      <c r="C103" s="1821"/>
      <c r="D103" s="1821"/>
      <c r="E103" s="1821"/>
      <c r="F103" s="1821"/>
      <c r="G103" s="1821"/>
      <c r="H103" s="1821"/>
      <c r="I103" s="1821"/>
    </row>
    <row r="104" spans="1:10" ht="14.25">
      <c r="A104" s="497"/>
      <c r="B104" s="497"/>
      <c r="C104" s="497"/>
      <c r="D104" s="497"/>
      <c r="E104" s="497"/>
      <c r="F104" s="573"/>
      <c r="G104" s="573"/>
      <c r="H104" s="573"/>
      <c r="I104" s="573"/>
    </row>
    <row r="105" spans="1:10" ht="14.25">
      <c r="A105" s="497"/>
      <c r="B105" s="497"/>
      <c r="C105" s="497"/>
      <c r="D105" s="497"/>
      <c r="E105" s="497"/>
      <c r="F105" s="573"/>
      <c r="G105" s="573"/>
      <c r="H105" s="573"/>
      <c r="I105" s="573"/>
    </row>
    <row r="106" spans="1:10" ht="15">
      <c r="A106" s="1818" t="s">
        <v>114</v>
      </c>
      <c r="B106" s="1820" t="s">
        <v>127</v>
      </c>
      <c r="C106" s="577" t="s">
        <v>51</v>
      </c>
      <c r="D106" s="576"/>
      <c r="E106" s="576"/>
      <c r="F106" s="576"/>
      <c r="G106" s="578"/>
      <c r="H106" s="575"/>
      <c r="I106" s="292"/>
    </row>
    <row r="107" spans="1:10" ht="15">
      <c r="A107" s="1818"/>
      <c r="B107" s="1820"/>
      <c r="C107" s="577" t="s">
        <v>128</v>
      </c>
      <c r="D107" s="576"/>
      <c r="E107" s="576"/>
      <c r="F107" s="576"/>
      <c r="G107" s="578"/>
      <c r="H107" s="575"/>
      <c r="I107" s="292"/>
    </row>
    <row r="108" spans="1:10" ht="15">
      <c r="A108" s="1818" t="s">
        <v>117</v>
      </c>
      <c r="B108" s="1820" t="s">
        <v>129</v>
      </c>
      <c r="C108" s="577" t="s">
        <v>130</v>
      </c>
      <c r="D108" s="576"/>
      <c r="E108" s="576"/>
      <c r="F108" s="576"/>
      <c r="G108" s="578"/>
      <c r="H108" s="575"/>
      <c r="I108" s="292"/>
    </row>
    <row r="109" spans="1:10" ht="15">
      <c r="A109" s="1818"/>
      <c r="B109" s="1820"/>
      <c r="C109" s="577" t="s">
        <v>21</v>
      </c>
      <c r="D109" s="576"/>
      <c r="E109" s="576"/>
      <c r="F109" s="576"/>
      <c r="G109" s="578"/>
      <c r="H109" s="575"/>
      <c r="I109" s="292"/>
    </row>
    <row r="110" spans="1:10" s="352" customFormat="1" ht="15">
      <c r="A110" s="1818" t="s">
        <v>119</v>
      </c>
      <c r="B110" s="1820" t="s">
        <v>260</v>
      </c>
      <c r="C110" s="579" t="s">
        <v>47</v>
      </c>
      <c r="D110" s="576"/>
      <c r="E110" s="576"/>
      <c r="F110" s="576"/>
      <c r="G110" s="578"/>
      <c r="H110" s="575"/>
      <c r="I110" s="292"/>
    </row>
    <row r="111" spans="1:10" s="352" customFormat="1" ht="15">
      <c r="A111" s="1818"/>
      <c r="B111" s="1820"/>
      <c r="C111" s="579" t="s">
        <v>21</v>
      </c>
      <c r="D111" s="576"/>
      <c r="E111" s="576"/>
      <c r="F111" s="576"/>
      <c r="G111" s="578"/>
      <c r="H111" s="575"/>
      <c r="I111" s="292"/>
    </row>
    <row r="112" spans="1:10" ht="15">
      <c r="A112" s="1818" t="s">
        <v>121</v>
      </c>
      <c r="B112" s="1820" t="s">
        <v>261</v>
      </c>
      <c r="C112" s="577" t="s">
        <v>134</v>
      </c>
      <c r="D112" s="576"/>
      <c r="E112" s="576"/>
      <c r="F112" s="576"/>
      <c r="G112" s="578"/>
      <c r="H112" s="575"/>
      <c r="I112" s="292"/>
    </row>
    <row r="113" spans="1:115" ht="15">
      <c r="A113" s="1818"/>
      <c r="B113" s="1820"/>
      <c r="C113" s="577" t="s">
        <v>21</v>
      </c>
      <c r="D113" s="576"/>
      <c r="E113" s="576"/>
      <c r="F113" s="576"/>
      <c r="G113" s="578"/>
      <c r="H113" s="575"/>
      <c r="I113" s="292"/>
    </row>
    <row r="114" spans="1:115" ht="15">
      <c r="A114" s="580" t="s">
        <v>124</v>
      </c>
      <c r="B114" s="581" t="s">
        <v>137</v>
      </c>
      <c r="C114" s="577" t="s">
        <v>21</v>
      </c>
      <c r="D114" s="576"/>
      <c r="E114" s="576"/>
      <c r="F114" s="576"/>
      <c r="G114" s="578"/>
      <c r="H114" s="292"/>
      <c r="I114" s="292"/>
    </row>
    <row r="115" spans="1:115" ht="15">
      <c r="A115" s="580" t="s">
        <v>262</v>
      </c>
      <c r="B115" s="494" t="s">
        <v>139</v>
      </c>
      <c r="C115" s="577" t="s">
        <v>21</v>
      </c>
      <c r="D115" s="576"/>
      <c r="E115" s="576"/>
      <c r="F115" s="576"/>
      <c r="G115" s="578"/>
      <c r="H115" s="292"/>
      <c r="I115" s="292"/>
    </row>
    <row r="116" spans="1:115" ht="15">
      <c r="A116" s="580" t="s">
        <v>126</v>
      </c>
      <c r="B116" s="581" t="s">
        <v>147</v>
      </c>
      <c r="C116" s="577" t="s">
        <v>21</v>
      </c>
      <c r="D116" s="576"/>
      <c r="E116" s="576"/>
      <c r="F116" s="576"/>
      <c r="G116" s="576"/>
      <c r="H116" s="292"/>
      <c r="I116" s="292"/>
    </row>
    <row r="117" spans="1:115" ht="15">
      <c r="A117" s="582">
        <v>7</v>
      </c>
      <c r="B117" s="583" t="s">
        <v>148</v>
      </c>
      <c r="C117" s="577" t="s">
        <v>21</v>
      </c>
      <c r="D117" s="576"/>
      <c r="E117" s="576"/>
      <c r="F117" s="576"/>
      <c r="G117" s="578"/>
      <c r="H117" s="576"/>
      <c r="I117" s="584"/>
    </row>
    <row r="118" spans="1:115" ht="15">
      <c r="A118" s="585" t="s">
        <v>263</v>
      </c>
      <c r="B118" s="291" t="s">
        <v>150</v>
      </c>
      <c r="C118" s="586" t="s">
        <v>128</v>
      </c>
      <c r="D118" s="321"/>
      <c r="E118" s="321"/>
      <c r="F118" s="576"/>
      <c r="G118" s="578"/>
      <c r="H118" s="576"/>
      <c r="I118" s="584"/>
    </row>
    <row r="119" spans="1:115" ht="15">
      <c r="A119" s="1818" t="s">
        <v>264</v>
      </c>
      <c r="B119" s="1819" t="s">
        <v>152</v>
      </c>
      <c r="C119" s="577" t="s">
        <v>47</v>
      </c>
      <c r="D119" s="576"/>
      <c r="E119" s="576"/>
      <c r="F119" s="576"/>
      <c r="G119" s="578"/>
      <c r="H119" s="292"/>
      <c r="I119" s="292"/>
    </row>
    <row r="120" spans="1:115" ht="15">
      <c r="A120" s="1818"/>
      <c r="B120" s="1819"/>
      <c r="C120" s="577" t="s">
        <v>21</v>
      </c>
      <c r="D120" s="576"/>
      <c r="E120" s="576"/>
      <c r="F120" s="576"/>
      <c r="G120" s="578"/>
      <c r="H120" s="292"/>
      <c r="I120" s="292"/>
    </row>
    <row r="121" spans="1:115" ht="15">
      <c r="A121" s="1818" t="s">
        <v>265</v>
      </c>
      <c r="B121" s="1819" t="s">
        <v>154</v>
      </c>
      <c r="C121" s="577" t="s">
        <v>47</v>
      </c>
      <c r="D121" s="576"/>
      <c r="E121" s="576"/>
      <c r="F121" s="576"/>
      <c r="G121" s="578"/>
      <c r="H121" s="292"/>
      <c r="I121" s="292"/>
    </row>
    <row r="122" spans="1:115" ht="15">
      <c r="A122" s="1818"/>
      <c r="B122" s="1819"/>
      <c r="C122" s="577" t="s">
        <v>21</v>
      </c>
      <c r="D122" s="576"/>
      <c r="E122" s="576"/>
      <c r="F122" s="576"/>
      <c r="G122" s="578"/>
      <c r="H122" s="292"/>
      <c r="I122" s="292"/>
    </row>
    <row r="123" spans="1:115" ht="15">
      <c r="A123" s="1818" t="s">
        <v>266</v>
      </c>
      <c r="B123" s="1819" t="s">
        <v>267</v>
      </c>
      <c r="C123" s="577" t="s">
        <v>47</v>
      </c>
      <c r="D123" s="576"/>
      <c r="E123" s="576"/>
      <c r="F123" s="576"/>
      <c r="G123" s="578"/>
      <c r="H123" s="292"/>
      <c r="I123" s="292"/>
    </row>
    <row r="124" spans="1:115" ht="15">
      <c r="A124" s="1818"/>
      <c r="B124" s="1819"/>
      <c r="C124" s="577" t="s">
        <v>21</v>
      </c>
      <c r="D124" s="576"/>
      <c r="E124" s="576"/>
      <c r="F124" s="576"/>
      <c r="G124" s="578"/>
      <c r="H124" s="292"/>
      <c r="I124" s="292"/>
    </row>
    <row r="125" spans="1:115" ht="15">
      <c r="A125" s="1818" t="s">
        <v>268</v>
      </c>
      <c r="B125" s="1819" t="s">
        <v>160</v>
      </c>
      <c r="C125" s="577" t="s">
        <v>47</v>
      </c>
      <c r="D125" s="576"/>
      <c r="E125" s="576"/>
      <c r="F125" s="576"/>
      <c r="G125" s="578"/>
      <c r="H125" s="292"/>
      <c r="I125" s="292"/>
    </row>
    <row r="126" spans="1:115" ht="15">
      <c r="A126" s="1818"/>
      <c r="B126" s="1819"/>
      <c r="C126" s="577" t="s">
        <v>21</v>
      </c>
      <c r="D126" s="576"/>
      <c r="E126" s="576"/>
      <c r="F126" s="576"/>
      <c r="G126" s="578"/>
      <c r="H126" s="292"/>
      <c r="I126" s="292"/>
    </row>
    <row r="127" spans="1:115" ht="15">
      <c r="A127" s="580" t="s">
        <v>229</v>
      </c>
      <c r="B127" s="587" t="s">
        <v>162</v>
      </c>
      <c r="C127" s="577" t="s">
        <v>21</v>
      </c>
      <c r="D127" s="588"/>
      <c r="E127" s="588"/>
      <c r="F127" s="589"/>
      <c r="G127" s="589"/>
      <c r="H127" s="575"/>
      <c r="I127" s="575"/>
    </row>
    <row r="128" spans="1:115" s="354" customFormat="1" ht="15.75" thickBot="1">
      <c r="A128" s="580" t="s">
        <v>269</v>
      </c>
      <c r="B128" s="587" t="s">
        <v>164</v>
      </c>
      <c r="C128" s="577" t="s">
        <v>21</v>
      </c>
      <c r="D128" s="588"/>
      <c r="E128" s="588"/>
      <c r="F128" s="589"/>
      <c r="G128" s="589"/>
      <c r="H128" s="575"/>
      <c r="I128" s="575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53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 s="353"/>
      <c r="BP128" s="353"/>
      <c r="BQ128" s="353"/>
      <c r="BR128" s="353"/>
      <c r="BS128" s="353"/>
      <c r="BT128" s="353"/>
      <c r="BU128" s="353"/>
      <c r="BV128" s="353"/>
      <c r="BW128" s="353"/>
      <c r="BX128" s="353"/>
      <c r="BY128" s="353"/>
      <c r="BZ128" s="353"/>
      <c r="CA128" s="353"/>
      <c r="CB128" s="353"/>
      <c r="CC128" s="353"/>
      <c r="CD128" s="353"/>
      <c r="CE128" s="353"/>
      <c r="CF128" s="353"/>
      <c r="CG128" s="353"/>
      <c r="CH128" s="353"/>
      <c r="CI128" s="353"/>
      <c r="CJ128" s="353"/>
      <c r="CK128" s="353"/>
      <c r="CL128" s="353"/>
      <c r="CM128" s="353"/>
      <c r="CN128" s="353"/>
      <c r="CO128" s="353"/>
      <c r="CP128" s="353"/>
      <c r="CQ128" s="353"/>
      <c r="CR128" s="353"/>
      <c r="CS128" s="353"/>
      <c r="CT128" s="353"/>
      <c r="CU128" s="353"/>
      <c r="CV128" s="353"/>
      <c r="CW128" s="353"/>
      <c r="CX128" s="353"/>
      <c r="CY128" s="353"/>
      <c r="CZ128" s="353"/>
      <c r="DA128" s="353"/>
      <c r="DB128" s="353"/>
      <c r="DC128" s="353"/>
      <c r="DD128" s="353"/>
      <c r="DE128" s="353"/>
      <c r="DF128" s="353"/>
      <c r="DG128" s="353"/>
      <c r="DH128" s="353"/>
      <c r="DI128" s="353"/>
      <c r="DJ128" s="353"/>
      <c r="DK128" s="353"/>
    </row>
    <row r="129" spans="1:9" ht="15">
      <c r="A129" s="585" t="s">
        <v>231</v>
      </c>
      <c r="B129" s="496" t="s">
        <v>166</v>
      </c>
      <c r="C129" s="586" t="s">
        <v>47</v>
      </c>
      <c r="D129" s="321"/>
      <c r="E129" s="321">
        <v>3308</v>
      </c>
      <c r="F129" s="576"/>
      <c r="G129" s="576"/>
      <c r="H129" s="576"/>
      <c r="I129" s="576"/>
    </row>
    <row r="130" spans="1:9" ht="15">
      <c r="A130" s="585"/>
      <c r="B130" s="496" t="s">
        <v>84</v>
      </c>
      <c r="C130" s="586" t="s">
        <v>21</v>
      </c>
      <c r="D130" s="590"/>
      <c r="E130" s="590">
        <v>36.781030000000001</v>
      </c>
      <c r="F130" s="591"/>
      <c r="G130" s="591"/>
      <c r="H130" s="591"/>
      <c r="I130" s="576"/>
    </row>
    <row r="131" spans="1:9" ht="15">
      <c r="A131" s="1818" t="s">
        <v>270</v>
      </c>
      <c r="B131" s="1819" t="s">
        <v>168</v>
      </c>
      <c r="C131" s="577" t="s">
        <v>47</v>
      </c>
      <c r="D131" s="576"/>
      <c r="E131" s="576">
        <v>0</v>
      </c>
      <c r="F131" s="576"/>
      <c r="G131" s="578"/>
      <c r="H131" s="292"/>
      <c r="I131" s="576"/>
    </row>
    <row r="132" spans="1:9" ht="15">
      <c r="A132" s="1818"/>
      <c r="B132" s="1819"/>
      <c r="C132" s="577" t="s">
        <v>21</v>
      </c>
      <c r="D132" s="576"/>
      <c r="E132" s="576">
        <v>0</v>
      </c>
      <c r="F132" s="576"/>
      <c r="G132" s="578"/>
      <c r="H132" s="292"/>
      <c r="I132" s="576"/>
    </row>
    <row r="133" spans="1:9" ht="15">
      <c r="A133" s="1818" t="s">
        <v>271</v>
      </c>
      <c r="B133" s="1819" t="s">
        <v>170</v>
      </c>
      <c r="C133" s="577" t="s">
        <v>47</v>
      </c>
      <c r="D133" s="576"/>
      <c r="E133" s="576">
        <v>6</v>
      </c>
      <c r="F133" s="576"/>
      <c r="G133" s="578"/>
      <c r="H133" s="292"/>
      <c r="I133" s="576"/>
    </row>
    <row r="134" spans="1:9" ht="15">
      <c r="A134" s="1818"/>
      <c r="B134" s="1819"/>
      <c r="C134" s="577" t="s">
        <v>21</v>
      </c>
      <c r="D134" s="576"/>
      <c r="E134" s="576">
        <v>2.6105399999999999</v>
      </c>
      <c r="F134" s="576"/>
      <c r="G134" s="578"/>
      <c r="H134" s="292"/>
      <c r="I134" s="576"/>
    </row>
    <row r="135" spans="1:9" ht="15">
      <c r="A135" s="1818" t="s">
        <v>272</v>
      </c>
      <c r="B135" s="1819" t="s">
        <v>172</v>
      </c>
      <c r="C135" s="577" t="s">
        <v>47</v>
      </c>
      <c r="D135" s="576"/>
      <c r="E135" s="576">
        <v>0</v>
      </c>
      <c r="F135" s="576"/>
      <c r="G135" s="578"/>
      <c r="H135" s="292"/>
      <c r="I135" s="576"/>
    </row>
    <row r="136" spans="1:9" ht="15">
      <c r="A136" s="1818"/>
      <c r="B136" s="1819"/>
      <c r="C136" s="577" t="s">
        <v>21</v>
      </c>
      <c r="D136" s="576"/>
      <c r="E136" s="576">
        <v>0</v>
      </c>
      <c r="F136" s="576"/>
      <c r="G136" s="578"/>
      <c r="H136" s="292"/>
      <c r="I136" s="576"/>
    </row>
    <row r="137" spans="1:9" ht="15">
      <c r="A137" s="1818" t="s">
        <v>273</v>
      </c>
      <c r="B137" s="1819" t="s">
        <v>174</v>
      </c>
      <c r="C137" s="577" t="s">
        <v>47</v>
      </c>
      <c r="D137" s="576"/>
      <c r="E137" s="576">
        <v>4142</v>
      </c>
      <c r="F137" s="576"/>
      <c r="G137" s="578"/>
      <c r="H137" s="292"/>
      <c r="I137" s="576"/>
    </row>
    <row r="138" spans="1:9" ht="15">
      <c r="A138" s="1818"/>
      <c r="B138" s="1819"/>
      <c r="C138" s="577" t="s">
        <v>21</v>
      </c>
      <c r="D138" s="576"/>
      <c r="E138" s="576">
        <v>44.854390000000002</v>
      </c>
      <c r="F138" s="576"/>
      <c r="G138" s="578"/>
      <c r="H138" s="292"/>
      <c r="I138" s="576"/>
    </row>
    <row r="139" spans="1:9" ht="15">
      <c r="A139" s="1818" t="s">
        <v>274</v>
      </c>
      <c r="B139" s="1819" t="s">
        <v>176</v>
      </c>
      <c r="C139" s="577" t="s">
        <v>47</v>
      </c>
      <c r="D139" s="576"/>
      <c r="E139" s="576">
        <v>2210</v>
      </c>
      <c r="F139" s="576"/>
      <c r="G139" s="578"/>
      <c r="H139" s="292"/>
      <c r="I139" s="576"/>
    </row>
    <row r="140" spans="1:9" ht="15">
      <c r="A140" s="1818"/>
      <c r="B140" s="1819"/>
      <c r="C140" s="577" t="s">
        <v>21</v>
      </c>
      <c r="D140" s="576"/>
      <c r="E140" s="576">
        <v>24.747319999999995</v>
      </c>
      <c r="F140" s="576"/>
      <c r="G140" s="578"/>
      <c r="H140" s="592"/>
      <c r="I140" s="576"/>
    </row>
    <row r="141" spans="1:9" ht="15">
      <c r="A141" s="1818" t="s">
        <v>275</v>
      </c>
      <c r="B141" s="1819" t="s">
        <v>178</v>
      </c>
      <c r="C141" s="577" t="s">
        <v>47</v>
      </c>
      <c r="D141" s="576"/>
      <c r="E141" s="576">
        <v>0</v>
      </c>
      <c r="F141" s="576"/>
      <c r="G141" s="578"/>
      <c r="H141" s="292"/>
      <c r="I141" s="576"/>
    </row>
    <row r="142" spans="1:9" ht="15">
      <c r="A142" s="1818"/>
      <c r="B142" s="1819"/>
      <c r="C142" s="577" t="s">
        <v>21</v>
      </c>
      <c r="D142" s="576"/>
      <c r="E142" s="576">
        <v>0</v>
      </c>
      <c r="F142" s="576"/>
      <c r="G142" s="578"/>
      <c r="H142" s="292"/>
      <c r="I142" s="576"/>
    </row>
    <row r="143" spans="1:9" ht="15">
      <c r="A143" s="1818" t="s">
        <v>276</v>
      </c>
      <c r="B143" s="1819" t="s">
        <v>180</v>
      </c>
      <c r="C143" s="577" t="s">
        <v>47</v>
      </c>
      <c r="D143" s="576"/>
      <c r="E143" s="576">
        <v>10</v>
      </c>
      <c r="F143" s="576"/>
      <c r="G143" s="578"/>
      <c r="H143" s="292"/>
      <c r="I143" s="576"/>
    </row>
    <row r="144" spans="1:9" ht="15">
      <c r="A144" s="1818"/>
      <c r="B144" s="1819"/>
      <c r="C144" s="577" t="s">
        <v>21</v>
      </c>
      <c r="D144" s="576"/>
      <c r="E144" s="576">
        <v>0.31725999999999999</v>
      </c>
      <c r="F144" s="576"/>
      <c r="G144" s="578"/>
      <c r="H144" s="292"/>
      <c r="I144" s="576"/>
    </row>
    <row r="145" spans="1:115" ht="15">
      <c r="A145" s="1818" t="s">
        <v>277</v>
      </c>
      <c r="B145" s="1819" t="s">
        <v>182</v>
      </c>
      <c r="C145" s="577" t="s">
        <v>47</v>
      </c>
      <c r="D145" s="576"/>
      <c r="E145" s="576">
        <v>0</v>
      </c>
      <c r="F145" s="576"/>
      <c r="G145" s="578"/>
      <c r="H145" s="292"/>
      <c r="I145" s="576"/>
    </row>
    <row r="146" spans="1:115" ht="15">
      <c r="A146" s="1818"/>
      <c r="B146" s="1819"/>
      <c r="C146" s="577" t="s">
        <v>21</v>
      </c>
      <c r="D146" s="576"/>
      <c r="E146" s="576">
        <v>0</v>
      </c>
      <c r="F146" s="576"/>
      <c r="G146" s="578"/>
      <c r="H146" s="592"/>
      <c r="I146" s="576"/>
    </row>
    <row r="147" spans="1:115" ht="32.25" customHeight="1">
      <c r="B147" s="1817" t="s">
        <v>286</v>
      </c>
      <c r="C147" s="1817"/>
      <c r="D147" s="1817"/>
      <c r="E147" s="1817"/>
      <c r="F147" s="1817"/>
      <c r="G147" s="1817"/>
    </row>
    <row r="148" spans="1:115" ht="32.25" customHeight="1">
      <c r="B148" s="498" t="s">
        <v>294</v>
      </c>
      <c r="C148" s="498"/>
      <c r="D148" s="498"/>
      <c r="E148" s="498"/>
      <c r="F148" s="498"/>
      <c r="G148" s="498"/>
    </row>
    <row r="149" spans="1:115" ht="29.25" customHeight="1">
      <c r="B149" s="268" t="s">
        <v>293</v>
      </c>
    </row>
    <row r="150" spans="1:115">
      <c r="B150" s="268" t="s">
        <v>291</v>
      </c>
    </row>
    <row r="151" spans="1:115" ht="12.75" customHeight="1">
      <c r="B151" s="268" t="s">
        <v>292</v>
      </c>
      <c r="D151" s="268"/>
      <c r="E151" s="268"/>
      <c r="F151" s="290"/>
      <c r="G151" s="290"/>
    </row>
    <row r="152" spans="1:115" s="355" customFormat="1" ht="15.75">
      <c r="A152" s="268"/>
      <c r="C152" s="356"/>
      <c r="F152" s="574"/>
      <c r="G152" s="574"/>
      <c r="H152" s="290"/>
      <c r="I152" s="290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8"/>
      <c r="BT152" s="268"/>
      <c r="BU152" s="268"/>
      <c r="BV152" s="268"/>
      <c r="BW152" s="268"/>
      <c r="BX152" s="268"/>
      <c r="BY152" s="26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</row>
    <row r="153" spans="1:115" s="355" customFormat="1" ht="15.75">
      <c r="A153" s="268"/>
      <c r="B153" s="268"/>
      <c r="C153" s="356"/>
      <c r="F153" s="574"/>
      <c r="G153" s="574"/>
      <c r="H153" s="290"/>
      <c r="I153" s="290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</row>
    <row r="154" spans="1:115" s="355" customFormat="1" ht="6" customHeight="1">
      <c r="A154" s="268"/>
      <c r="B154" s="268"/>
      <c r="C154" s="268"/>
      <c r="F154" s="574"/>
      <c r="G154" s="574"/>
      <c r="H154" s="290"/>
      <c r="I154" s="290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</row>
    <row r="155" spans="1:115" s="355" customFormat="1" hidden="1">
      <c r="A155" s="268"/>
      <c r="B155" s="268"/>
      <c r="C155" s="268"/>
      <c r="F155" s="574"/>
      <c r="G155" s="574"/>
      <c r="H155" s="290"/>
      <c r="I155" s="290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</row>
    <row r="156" spans="1:115" s="355" customFormat="1" hidden="1">
      <c r="A156" s="268"/>
      <c r="B156" s="268"/>
      <c r="C156" s="268"/>
      <c r="F156" s="574"/>
      <c r="G156" s="574"/>
      <c r="H156" s="290"/>
      <c r="I156" s="290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/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68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</row>
  </sheetData>
  <mergeCells count="118">
    <mergeCell ref="A8:B8"/>
    <mergeCell ref="A9:B9"/>
    <mergeCell ref="A10:B10"/>
    <mergeCell ref="A11:I11"/>
    <mergeCell ref="G13:I13"/>
    <mergeCell ref="A26:A27"/>
    <mergeCell ref="B26:B27"/>
    <mergeCell ref="A28:A29"/>
    <mergeCell ref="B28:B29"/>
    <mergeCell ref="B12:G12"/>
    <mergeCell ref="A30:A31"/>
    <mergeCell ref="B30:B31"/>
    <mergeCell ref="A16:A18"/>
    <mergeCell ref="A19:A20"/>
    <mergeCell ref="B19:B20"/>
    <mergeCell ref="A21:A22"/>
    <mergeCell ref="B21:B22"/>
    <mergeCell ref="A24:A25"/>
    <mergeCell ref="B24:B25"/>
    <mergeCell ref="A39:A41"/>
    <mergeCell ref="B39:B41"/>
    <mergeCell ref="A42:A43"/>
    <mergeCell ref="B42:B43"/>
    <mergeCell ref="A44:A45"/>
    <mergeCell ref="B44:B45"/>
    <mergeCell ref="A32:A33"/>
    <mergeCell ref="B32:B33"/>
    <mergeCell ref="A35:A36"/>
    <mergeCell ref="B35:B36"/>
    <mergeCell ref="A37:A38"/>
    <mergeCell ref="B37:B38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77:A78"/>
    <mergeCell ref="B77:B78"/>
    <mergeCell ref="A79:A80"/>
    <mergeCell ref="B79:B80"/>
    <mergeCell ref="A81:A82"/>
    <mergeCell ref="B81:B82"/>
    <mergeCell ref="A70:A71"/>
    <mergeCell ref="B70:B71"/>
    <mergeCell ref="A72:A73"/>
    <mergeCell ref="B72:B73"/>
    <mergeCell ref="A75:A76"/>
    <mergeCell ref="B75:B76"/>
    <mergeCell ref="A90:A91"/>
    <mergeCell ref="B90:B91"/>
    <mergeCell ref="A92:A93"/>
    <mergeCell ref="B92:B93"/>
    <mergeCell ref="A94:A95"/>
    <mergeCell ref="B94:B95"/>
    <mergeCell ref="A83:A84"/>
    <mergeCell ref="B83:B84"/>
    <mergeCell ref="A85:A86"/>
    <mergeCell ref="B85:B86"/>
    <mergeCell ref="A87:A88"/>
    <mergeCell ref="B87:B88"/>
    <mergeCell ref="A131:A132"/>
    <mergeCell ref="B131:B132"/>
    <mergeCell ref="A112:A113"/>
    <mergeCell ref="B112:B113"/>
    <mergeCell ref="A119:A120"/>
    <mergeCell ref="B119:B120"/>
    <mergeCell ref="A121:A122"/>
    <mergeCell ref="B121:B122"/>
    <mergeCell ref="A103:I103"/>
    <mergeCell ref="A106:A107"/>
    <mergeCell ref="B106:B107"/>
    <mergeCell ref="A108:A109"/>
    <mergeCell ref="B108:B109"/>
    <mergeCell ref="A110:A111"/>
    <mergeCell ref="B110:B111"/>
    <mergeCell ref="E2:I2"/>
    <mergeCell ref="E3:I3"/>
    <mergeCell ref="E4:I4"/>
    <mergeCell ref="E5:I5"/>
    <mergeCell ref="A145:A146"/>
    <mergeCell ref="B145:B146"/>
    <mergeCell ref="B147:G147"/>
    <mergeCell ref="E1:I1"/>
    <mergeCell ref="A139:A140"/>
    <mergeCell ref="B139:B140"/>
    <mergeCell ref="A141:A142"/>
    <mergeCell ref="B141:B142"/>
    <mergeCell ref="A143:A144"/>
    <mergeCell ref="B143:B144"/>
    <mergeCell ref="A133:A134"/>
    <mergeCell ref="B133:B134"/>
    <mergeCell ref="A135:A136"/>
    <mergeCell ref="B135:B136"/>
    <mergeCell ref="A137:A138"/>
    <mergeCell ref="B137:B138"/>
    <mergeCell ref="A123:A124"/>
    <mergeCell ref="B123:B124"/>
    <mergeCell ref="A125:A126"/>
    <mergeCell ref="B125:B126"/>
  </mergeCells>
  <pageMargins left="0.37" right="0" top="0.35" bottom="0.36" header="0.27" footer="0.31496062992125984"/>
  <pageSetup paperSize="9" scale="8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5"/>
  <sheetViews>
    <sheetView workbookViewId="0">
      <selection activeCell="AB21" sqref="AB21"/>
    </sheetView>
  </sheetViews>
  <sheetFormatPr defaultRowHeight="15"/>
  <cols>
    <col min="1" max="1" width="5.140625" customWidth="1"/>
    <col min="2" max="2" width="33.7109375" customWidth="1"/>
    <col min="3" max="3" width="6.28515625" customWidth="1"/>
    <col min="4" max="4" width="8" customWidth="1"/>
    <col min="5" max="7" width="9.140625" hidden="1" customWidth="1"/>
    <col min="9" max="9" width="7.7109375" customWidth="1"/>
    <col min="10" max="10" width="6.5703125" customWidth="1"/>
    <col min="11" max="11" width="8.140625" customWidth="1"/>
    <col min="13" max="13" width="7" customWidth="1"/>
    <col min="14" max="20" width="9.140625" hidden="1" customWidth="1"/>
    <col min="21" max="21" width="0.140625" customWidth="1"/>
    <col min="22" max="24" width="9.140625" hidden="1" customWidth="1"/>
  </cols>
  <sheetData>
    <row r="1" spans="1:24">
      <c r="A1" s="631"/>
      <c r="B1" s="631"/>
      <c r="C1" s="631"/>
      <c r="D1" s="632"/>
      <c r="E1" s="632"/>
      <c r="F1" s="631"/>
      <c r="G1" s="631"/>
      <c r="H1" s="631"/>
      <c r="I1" s="1729" t="s">
        <v>184</v>
      </c>
      <c r="J1" s="1729"/>
      <c r="K1" s="1729"/>
      <c r="L1" s="1307"/>
      <c r="M1" s="1307"/>
      <c r="N1" s="631"/>
      <c r="O1" s="631"/>
      <c r="P1" s="631"/>
      <c r="Q1" s="631"/>
      <c r="R1" s="632"/>
      <c r="S1" s="632"/>
      <c r="T1" s="1730"/>
      <c r="U1" s="1730"/>
      <c r="V1" s="1730"/>
      <c r="W1" s="1730"/>
      <c r="X1" s="1730"/>
    </row>
    <row r="2" spans="1:24">
      <c r="A2" s="631"/>
      <c r="B2" s="631"/>
      <c r="C2" s="631"/>
      <c r="D2" s="632"/>
      <c r="E2" s="632"/>
      <c r="F2" s="631"/>
      <c r="G2" s="631"/>
      <c r="H2" s="631"/>
      <c r="I2" s="1729" t="s">
        <v>185</v>
      </c>
      <c r="J2" s="1729"/>
      <c r="K2" s="1729"/>
      <c r="L2" s="1307"/>
      <c r="M2" s="1307"/>
      <c r="N2" s="631"/>
      <c r="O2" s="631"/>
      <c r="P2" s="631"/>
      <c r="Q2" s="631"/>
      <c r="R2" s="632"/>
      <c r="S2" s="632"/>
      <c r="T2" s="1730"/>
      <c r="U2" s="1730"/>
      <c r="V2" s="1730"/>
      <c r="W2" s="1730"/>
      <c r="X2" s="1730"/>
    </row>
    <row r="3" spans="1:24">
      <c r="A3" s="631"/>
      <c r="B3" s="631"/>
      <c r="C3" s="631"/>
      <c r="D3" s="632"/>
      <c r="E3" s="632"/>
      <c r="F3" s="631"/>
      <c r="G3" s="631"/>
      <c r="H3" s="631"/>
      <c r="I3" s="1729" t="s">
        <v>186</v>
      </c>
      <c r="J3" s="1729"/>
      <c r="K3" s="1729"/>
      <c r="L3" s="1307"/>
      <c r="M3" s="1307"/>
      <c r="N3" s="631"/>
      <c r="O3" s="631"/>
      <c r="P3" s="631"/>
      <c r="Q3" s="631"/>
      <c r="R3" s="632"/>
      <c r="S3" s="632"/>
      <c r="T3" s="1730"/>
      <c r="U3" s="1730"/>
      <c r="V3" s="1730"/>
      <c r="W3" s="1730"/>
      <c r="X3" s="1730"/>
    </row>
    <row r="4" spans="1:24">
      <c r="A4" s="631"/>
      <c r="B4" s="631"/>
      <c r="C4" s="631"/>
      <c r="D4" s="632"/>
      <c r="E4" s="632"/>
      <c r="F4" s="631"/>
      <c r="G4" s="631"/>
      <c r="H4" s="631"/>
      <c r="I4" s="1729" t="s">
        <v>187</v>
      </c>
      <c r="J4" s="1729"/>
      <c r="K4" s="1729"/>
      <c r="L4" s="1307"/>
      <c r="M4" s="1307"/>
      <c r="N4" s="631"/>
      <c r="O4" s="631"/>
      <c r="P4" s="631"/>
      <c r="Q4" s="631"/>
      <c r="R4" s="632"/>
      <c r="S4" s="632"/>
      <c r="T4" s="1730"/>
      <c r="U4" s="1730"/>
      <c r="V4" s="1730"/>
      <c r="W4" s="1730"/>
      <c r="X4" s="1730"/>
    </row>
    <row r="5" spans="1:24">
      <c r="A5" s="631"/>
      <c r="B5" s="631"/>
      <c r="C5" s="631"/>
      <c r="D5" s="632"/>
      <c r="E5" s="632"/>
      <c r="F5" s="631"/>
      <c r="G5" s="631"/>
      <c r="H5" s="631"/>
      <c r="I5" s="1729" t="s">
        <v>210</v>
      </c>
      <c r="J5" s="1729"/>
      <c r="K5" s="1729"/>
      <c r="L5" s="1729"/>
      <c r="M5" s="1729"/>
      <c r="N5" s="631"/>
      <c r="O5" s="631"/>
      <c r="P5" s="631"/>
      <c r="Q5" s="631"/>
      <c r="R5" s="632"/>
      <c r="S5" s="632"/>
      <c r="T5" s="1730"/>
      <c r="U5" s="1730"/>
      <c r="V5" s="1730"/>
      <c r="W5" s="1730"/>
      <c r="X5" s="1730"/>
    </row>
    <row r="6" spans="1:24" ht="18.75" customHeight="1">
      <c r="A6" s="1731" t="s">
        <v>316</v>
      </c>
      <c r="B6" s="1731"/>
      <c r="C6" s="1731"/>
      <c r="D6" s="1731"/>
      <c r="E6" s="1731"/>
      <c r="F6" s="1731"/>
      <c r="G6" s="1731"/>
      <c r="H6" s="1731"/>
      <c r="I6" s="1731"/>
      <c r="J6" s="1731"/>
      <c r="K6" s="1731"/>
      <c r="L6" s="1731"/>
      <c r="M6" s="1731"/>
      <c r="N6" s="634"/>
      <c r="O6" s="634"/>
      <c r="P6" s="634"/>
      <c r="Q6" s="634"/>
      <c r="R6" s="634"/>
      <c r="S6" s="634"/>
      <c r="T6" s="634"/>
      <c r="U6" s="631"/>
      <c r="V6" s="631"/>
      <c r="W6" s="631"/>
      <c r="X6" s="631"/>
    </row>
    <row r="7" spans="1:24" ht="2.25" customHeight="1" thickBot="1">
      <c r="A7" s="1308"/>
      <c r="B7" s="1308"/>
      <c r="C7" s="1308"/>
      <c r="D7" s="1308"/>
      <c r="E7" s="1308"/>
      <c r="F7" s="1308"/>
      <c r="G7" s="1308"/>
      <c r="H7" s="1308"/>
      <c r="I7" s="1308"/>
      <c r="J7" s="1308"/>
      <c r="K7" s="1308"/>
      <c r="L7" s="1308"/>
      <c r="M7" s="1308"/>
      <c r="N7" s="634"/>
      <c r="O7" s="634"/>
      <c r="P7" s="634"/>
      <c r="Q7" s="634"/>
      <c r="R7" s="634"/>
      <c r="S7" s="634"/>
      <c r="T7" s="634"/>
      <c r="U7" s="631"/>
      <c r="V7" s="631"/>
      <c r="W7" s="631"/>
      <c r="X7" s="631"/>
    </row>
    <row r="8" spans="1:24" ht="15.75" hidden="1" thickBot="1">
      <c r="A8" s="1308"/>
      <c r="B8" s="1308"/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634"/>
      <c r="O8" s="634"/>
      <c r="P8" s="634"/>
      <c r="Q8" s="634"/>
      <c r="R8" s="634"/>
      <c r="S8" s="634"/>
      <c r="T8" s="634"/>
      <c r="U8" s="631"/>
      <c r="V8" s="631"/>
      <c r="W8" s="631"/>
      <c r="X8" s="631"/>
    </row>
    <row r="9" spans="1:24" ht="15.75" hidden="1" thickBot="1">
      <c r="A9" s="1308"/>
      <c r="B9" s="1308"/>
      <c r="C9" s="1308"/>
      <c r="D9" s="1308"/>
      <c r="E9" s="1308"/>
      <c r="F9" s="1308"/>
      <c r="G9" s="1308"/>
      <c r="H9" s="1308"/>
      <c r="I9" s="1308"/>
      <c r="J9" s="1308"/>
      <c r="K9" s="1308"/>
      <c r="L9" s="1308"/>
      <c r="M9" s="1308"/>
      <c r="N9" s="634"/>
      <c r="O9" s="634"/>
      <c r="P9" s="634"/>
      <c r="Q9" s="634"/>
      <c r="R9" s="634"/>
      <c r="S9" s="634"/>
      <c r="T9" s="634"/>
      <c r="U9" s="631"/>
      <c r="V9" s="631"/>
      <c r="W9" s="631"/>
      <c r="X9" s="631"/>
    </row>
    <row r="10" spans="1:24" ht="15.75" hidden="1" thickBot="1">
      <c r="A10" s="635" t="s">
        <v>190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6"/>
      <c r="P10" s="635"/>
      <c r="Q10" s="635"/>
      <c r="R10" s="635"/>
      <c r="S10" s="635"/>
      <c r="T10" s="635"/>
      <c r="U10" s="631"/>
      <c r="V10" s="631"/>
      <c r="W10" s="631"/>
      <c r="X10" s="631"/>
    </row>
    <row r="11" spans="1:24" ht="15.75" thickBot="1">
      <c r="A11" s="1738" t="s">
        <v>1</v>
      </c>
      <c r="B11" s="1739" t="s">
        <v>2</v>
      </c>
      <c r="C11" s="1740" t="s">
        <v>3</v>
      </c>
      <c r="D11" s="1742" t="s">
        <v>192</v>
      </c>
      <c r="E11" s="1727" t="s">
        <v>5</v>
      </c>
      <c r="F11" s="1727"/>
      <c r="G11" s="1727"/>
      <c r="H11" s="1727"/>
      <c r="I11" s="1727"/>
      <c r="J11" s="1727"/>
      <c r="K11" s="1727"/>
      <c r="L11" s="1727"/>
      <c r="M11" s="1727"/>
      <c r="N11" s="1727"/>
      <c r="O11" s="1727"/>
      <c r="P11" s="1727"/>
      <c r="Q11" s="1727"/>
      <c r="R11" s="1722" t="s">
        <v>6</v>
      </c>
      <c r="S11" s="1722"/>
      <c r="T11" s="1722"/>
      <c r="U11" s="1722" t="s">
        <v>7</v>
      </c>
      <c r="V11" s="1722"/>
      <c r="W11" s="1727" t="s">
        <v>8</v>
      </c>
      <c r="X11" s="1727"/>
    </row>
    <row r="12" spans="1:24" ht="36" customHeight="1" thickTop="1" thickBot="1">
      <c r="A12" s="1738"/>
      <c r="B12" s="1739"/>
      <c r="C12" s="1740"/>
      <c r="D12" s="1742"/>
      <c r="E12" s="1727" t="s">
        <v>9</v>
      </c>
      <c r="F12" s="1727"/>
      <c r="G12" s="1727"/>
      <c r="H12" s="1727" t="s">
        <v>10</v>
      </c>
      <c r="I12" s="1727"/>
      <c r="J12" s="1727"/>
      <c r="K12" s="1727" t="s">
        <v>11</v>
      </c>
      <c r="L12" s="1727"/>
      <c r="M12" s="1727"/>
      <c r="N12" s="1727" t="s">
        <v>12</v>
      </c>
      <c r="O12" s="1727"/>
      <c r="P12" s="1727" t="s">
        <v>13</v>
      </c>
      <c r="Q12" s="1727"/>
      <c r="R12" s="1722"/>
      <c r="S12" s="1722"/>
      <c r="T12" s="1722"/>
      <c r="U12" s="1722"/>
      <c r="V12" s="1722"/>
      <c r="W12" s="1727"/>
      <c r="X12" s="1727"/>
    </row>
    <row r="13" spans="1:24" ht="19.5" customHeight="1" thickTop="1" thickBot="1">
      <c r="A13" s="1738"/>
      <c r="B13" s="1739"/>
      <c r="C13" s="1740"/>
      <c r="D13" s="1742"/>
      <c r="E13" s="1312" t="s">
        <v>14</v>
      </c>
      <c r="F13" s="1309" t="s">
        <v>15</v>
      </c>
      <c r="G13" s="1309" t="s">
        <v>16</v>
      </c>
      <c r="H13" s="1313" t="s">
        <v>14</v>
      </c>
      <c r="I13" s="1311" t="s">
        <v>15</v>
      </c>
      <c r="J13" s="1311" t="s">
        <v>16</v>
      </c>
      <c r="K13" s="1312" t="s">
        <v>14</v>
      </c>
      <c r="L13" s="1311" t="s">
        <v>15</v>
      </c>
      <c r="M13" s="1311" t="s">
        <v>16</v>
      </c>
      <c r="N13" s="1312" t="s">
        <v>4</v>
      </c>
      <c r="O13" s="1309" t="s">
        <v>16</v>
      </c>
      <c r="P13" s="1312" t="s">
        <v>4</v>
      </c>
      <c r="Q13" s="643" t="s">
        <v>17</v>
      </c>
      <c r="R13" s="1312" t="s">
        <v>4</v>
      </c>
      <c r="S13" s="1309" t="s">
        <v>15</v>
      </c>
      <c r="T13" s="1309" t="s">
        <v>16</v>
      </c>
      <c r="U13" s="1312" t="s">
        <v>4</v>
      </c>
      <c r="V13" s="644" t="s">
        <v>18</v>
      </c>
      <c r="W13" s="1312" t="s">
        <v>4</v>
      </c>
      <c r="X13" s="644" t="s">
        <v>18</v>
      </c>
    </row>
    <row r="14" spans="1:24" ht="16.5" thickTop="1" thickBot="1">
      <c r="A14" s="1314" t="s">
        <v>19</v>
      </c>
      <c r="B14" s="1315" t="s">
        <v>20</v>
      </c>
      <c r="C14" s="1316" t="s">
        <v>21</v>
      </c>
      <c r="D14" s="1317">
        <f>H14+K14</f>
        <v>1131.6669999999999</v>
      </c>
      <c r="E14" s="1317">
        <f>E17+E24+E35+E37+E40+E42+E44+E46+E48+E50+E52+E54+E56+E58+E60+E62+E64+E66+E68+E70+E72</f>
        <v>0</v>
      </c>
      <c r="F14" s="1317">
        <f>F17+F24+F35+F37+F40+F42+F44+F46+F48+F50+F52+F54+F56+F58+F60+F62+F64+F66+F68+F70+F72</f>
        <v>0</v>
      </c>
      <c r="G14" s="1317">
        <f>G17+G24+G35+G37+G40+G42+G44+G46+G48+G50+G52+G54+G56+G58+G60+G62+G64+G66+G68+G70+G72</f>
        <v>0</v>
      </c>
      <c r="H14" s="1317">
        <f>I14+J14</f>
        <v>1029.0739999999998</v>
      </c>
      <c r="I14" s="1317">
        <f>I17+I35+I37+I40+I44+I46+I52+I54+I56+I58</f>
        <v>1029.0739999999998</v>
      </c>
      <c r="J14" s="1317"/>
      <c r="K14" s="1317">
        <f>L14</f>
        <v>102.59299999999999</v>
      </c>
      <c r="L14" s="1317">
        <f>L17+L35+L56</f>
        <v>102.59299999999999</v>
      </c>
      <c r="M14" s="1317"/>
      <c r="N14" s="1318">
        <v>0</v>
      </c>
      <c r="O14" s="1319">
        <v>0</v>
      </c>
      <c r="P14" s="1319">
        <v>0</v>
      </c>
      <c r="Q14" s="1319">
        <v>0</v>
      </c>
      <c r="R14" s="1319">
        <v>0</v>
      </c>
      <c r="S14" s="1319">
        <v>0</v>
      </c>
      <c r="T14" s="1319">
        <v>0</v>
      </c>
      <c r="U14" s="1319">
        <v>0</v>
      </c>
      <c r="V14" s="1319">
        <v>0</v>
      </c>
      <c r="W14" s="1319">
        <v>0</v>
      </c>
      <c r="X14" s="1319">
        <v>0</v>
      </c>
    </row>
    <row r="15" spans="1:24" ht="18" customHeight="1" thickBot="1">
      <c r="A15" s="1744">
        <v>1</v>
      </c>
      <c r="B15" s="1320" t="s">
        <v>22</v>
      </c>
      <c r="C15" s="1321" t="s">
        <v>23</v>
      </c>
      <c r="D15" s="1317">
        <f t="shared" ref="D15:D72" si="0">H15+K15</f>
        <v>18</v>
      </c>
      <c r="E15" s="1317">
        <f>F15+G15</f>
        <v>0</v>
      </c>
      <c r="F15" s="1322"/>
      <c r="G15" s="1323"/>
      <c r="H15" s="1324">
        <v>14</v>
      </c>
      <c r="I15" s="1126">
        <v>14</v>
      </c>
      <c r="J15" s="1126"/>
      <c r="K15" s="1126">
        <f>L15</f>
        <v>4</v>
      </c>
      <c r="L15" s="1126">
        <v>4</v>
      </c>
      <c r="M15" s="1126"/>
      <c r="N15" s="1325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</row>
    <row r="16" spans="1:24" ht="15.75" thickBot="1">
      <c r="A16" s="1744"/>
      <c r="B16" s="833"/>
      <c r="C16" s="832" t="s">
        <v>24</v>
      </c>
      <c r="D16" s="1317">
        <f t="shared" ref="D16:D21" si="1">K16+H16</f>
        <v>0.14300000000000002</v>
      </c>
      <c r="E16" s="1317">
        <f t="shared" ref="E16:E79" si="2">F16+G16</f>
        <v>0</v>
      </c>
      <c r="F16" s="694">
        <f>F18+F20+F22</f>
        <v>0</v>
      </c>
      <c r="G16" s="694">
        <f>G18+G20+G22</f>
        <v>0</v>
      </c>
      <c r="H16" s="1324">
        <v>8.3000000000000004E-2</v>
      </c>
      <c r="I16" s="781">
        <v>8.3000000000000004E-2</v>
      </c>
      <c r="J16" s="781"/>
      <c r="K16" s="688">
        <f>L16</f>
        <v>0.06</v>
      </c>
      <c r="L16" s="688">
        <v>0.06</v>
      </c>
      <c r="M16" s="781"/>
      <c r="N16" s="782">
        <f t="shared" ref="N16:X17" si="3">N18+N20</f>
        <v>0</v>
      </c>
      <c r="O16" s="694">
        <f t="shared" si="3"/>
        <v>0</v>
      </c>
      <c r="P16" s="694">
        <f t="shared" si="3"/>
        <v>0</v>
      </c>
      <c r="Q16" s="694">
        <f t="shared" si="3"/>
        <v>0</v>
      </c>
      <c r="R16" s="694">
        <f t="shared" si="3"/>
        <v>0</v>
      </c>
      <c r="S16" s="694">
        <f t="shared" si="3"/>
        <v>0</v>
      </c>
      <c r="T16" s="694">
        <f t="shared" si="3"/>
        <v>0</v>
      </c>
      <c r="U16" s="694">
        <f t="shared" si="3"/>
        <v>0</v>
      </c>
      <c r="V16" s="694">
        <f t="shared" si="3"/>
        <v>0</v>
      </c>
      <c r="W16" s="694">
        <f t="shared" si="3"/>
        <v>0</v>
      </c>
      <c r="X16" s="694">
        <f t="shared" si="3"/>
        <v>0</v>
      </c>
    </row>
    <row r="17" spans="1:24" ht="15.75" thickBot="1">
      <c r="A17" s="1744"/>
      <c r="B17" s="852" t="s">
        <v>25</v>
      </c>
      <c r="C17" s="786" t="s">
        <v>21</v>
      </c>
      <c r="D17" s="1317">
        <f t="shared" si="1"/>
        <v>137.56399999999999</v>
      </c>
      <c r="E17" s="1317">
        <f t="shared" si="2"/>
        <v>0</v>
      </c>
      <c r="F17" s="698">
        <f>F19+F21</f>
        <v>0</v>
      </c>
      <c r="G17" s="1326">
        <f>G19+G21</f>
        <v>0</v>
      </c>
      <c r="H17" s="1324">
        <f t="shared" ref="H17:H20" si="4">I17</f>
        <v>107.667</v>
      </c>
      <c r="I17" s="781">
        <f>I19+I21</f>
        <v>107.667</v>
      </c>
      <c r="J17" s="781"/>
      <c r="K17" s="688">
        <f>K21</f>
        <v>29.896999999999998</v>
      </c>
      <c r="L17" s="688">
        <f>L21</f>
        <v>29.896999999999998</v>
      </c>
      <c r="M17" s="781"/>
      <c r="N17" s="714">
        <f t="shared" si="3"/>
        <v>0</v>
      </c>
      <c r="O17" s="698">
        <f t="shared" si="3"/>
        <v>0</v>
      </c>
      <c r="P17" s="698">
        <f t="shared" si="3"/>
        <v>0</v>
      </c>
      <c r="Q17" s="698">
        <f t="shared" si="3"/>
        <v>0</v>
      </c>
      <c r="R17" s="698">
        <f t="shared" si="3"/>
        <v>0</v>
      </c>
      <c r="S17" s="698">
        <f t="shared" si="3"/>
        <v>0</v>
      </c>
      <c r="T17" s="698">
        <f t="shared" si="3"/>
        <v>0</v>
      </c>
      <c r="U17" s="698">
        <f t="shared" si="3"/>
        <v>0</v>
      </c>
      <c r="V17" s="698">
        <f t="shared" si="3"/>
        <v>0</v>
      </c>
      <c r="W17" s="698">
        <f t="shared" si="3"/>
        <v>0</v>
      </c>
      <c r="X17" s="698">
        <f t="shared" si="3"/>
        <v>0</v>
      </c>
    </row>
    <row r="18" spans="1:24" ht="15.75" thickBot="1">
      <c r="A18" s="783" t="s">
        <v>26</v>
      </c>
      <c r="B18" s="788" t="s">
        <v>27</v>
      </c>
      <c r="C18" s="786" t="s">
        <v>24</v>
      </c>
      <c r="D18" s="1317">
        <f t="shared" si="1"/>
        <v>2.5999999999999999E-2</v>
      </c>
      <c r="E18" s="1317">
        <f t="shared" si="2"/>
        <v>0</v>
      </c>
      <c r="F18" s="699"/>
      <c r="G18" s="700"/>
      <c r="H18" s="1327">
        <f t="shared" si="4"/>
        <v>2.5999999999999999E-2</v>
      </c>
      <c r="I18" s="1328">
        <v>2.5999999999999999E-2</v>
      </c>
      <c r="J18" s="688"/>
      <c r="K18" s="688">
        <f>L18</f>
        <v>0</v>
      </c>
      <c r="L18" s="688"/>
      <c r="M18" s="688"/>
      <c r="N18" s="714">
        <f t="shared" ref="N18:N33" si="5">O18</f>
        <v>0</v>
      </c>
      <c r="O18" s="787"/>
      <c r="P18" s="1326">
        <f t="shared" ref="P18:P72" si="6">Q18</f>
        <v>0</v>
      </c>
      <c r="Q18" s="691"/>
      <c r="R18" s="701">
        <f t="shared" ref="R18:R72" si="7">S18+T18</f>
        <v>0</v>
      </c>
      <c r="S18" s="691"/>
      <c r="T18" s="691"/>
      <c r="U18" s="701">
        <f t="shared" ref="U18:U72" si="8">V18</f>
        <v>0</v>
      </c>
      <c r="V18" s="691"/>
      <c r="W18" s="701">
        <f t="shared" ref="W18:W40" si="9">X18</f>
        <v>0</v>
      </c>
      <c r="X18" s="691"/>
    </row>
    <row r="19" spans="1:24" ht="15.75" thickBot="1">
      <c r="A19" s="788"/>
      <c r="B19" s="788"/>
      <c r="C19" s="786" t="s">
        <v>21</v>
      </c>
      <c r="D19" s="1317">
        <f t="shared" si="1"/>
        <v>73.847999999999999</v>
      </c>
      <c r="E19" s="1317">
        <f t="shared" si="2"/>
        <v>0</v>
      </c>
      <c r="F19" s="699"/>
      <c r="G19" s="700"/>
      <c r="H19" s="1324">
        <f t="shared" si="4"/>
        <v>73.847999999999999</v>
      </c>
      <c r="I19" s="688">
        <v>73.847999999999999</v>
      </c>
      <c r="J19" s="688"/>
      <c r="K19" s="688">
        <f>L19</f>
        <v>0</v>
      </c>
      <c r="L19" s="688"/>
      <c r="M19" s="688"/>
      <c r="N19" s="701">
        <f t="shared" si="5"/>
        <v>0</v>
      </c>
      <c r="O19" s="690"/>
      <c r="P19" s="701">
        <f t="shared" si="6"/>
        <v>0</v>
      </c>
      <c r="Q19" s="691"/>
      <c r="R19" s="701">
        <f t="shared" si="7"/>
        <v>0</v>
      </c>
      <c r="S19" s="691"/>
      <c r="T19" s="691"/>
      <c r="U19" s="701">
        <f t="shared" si="8"/>
        <v>0</v>
      </c>
      <c r="V19" s="691"/>
      <c r="W19" s="701">
        <f t="shared" si="9"/>
        <v>0</v>
      </c>
      <c r="X19" s="691"/>
    </row>
    <row r="20" spans="1:24" ht="15.75" thickBot="1">
      <c r="A20" s="788" t="s">
        <v>28</v>
      </c>
      <c r="B20" s="788" t="s">
        <v>29</v>
      </c>
      <c r="C20" s="786" t="s">
        <v>24</v>
      </c>
      <c r="D20" s="1317">
        <f t="shared" si="1"/>
        <v>0.11799999999999999</v>
      </c>
      <c r="E20" s="1317">
        <f t="shared" si="2"/>
        <v>0</v>
      </c>
      <c r="F20" s="699"/>
      <c r="G20" s="700"/>
      <c r="H20" s="1324">
        <f t="shared" si="4"/>
        <v>5.8000000000000003E-2</v>
      </c>
      <c r="I20" s="789">
        <v>5.8000000000000003E-2</v>
      </c>
      <c r="J20" s="688"/>
      <c r="K20" s="688">
        <f>L20</f>
        <v>0.06</v>
      </c>
      <c r="L20" s="688">
        <v>0.06</v>
      </c>
      <c r="M20" s="688"/>
      <c r="N20" s="701">
        <f t="shared" si="5"/>
        <v>0</v>
      </c>
      <c r="O20" s="690"/>
      <c r="P20" s="701">
        <f t="shared" si="6"/>
        <v>0</v>
      </c>
      <c r="Q20" s="691"/>
      <c r="R20" s="701">
        <f t="shared" si="7"/>
        <v>0</v>
      </c>
      <c r="S20" s="691"/>
      <c r="T20" s="691"/>
      <c r="U20" s="701">
        <f t="shared" si="8"/>
        <v>0</v>
      </c>
      <c r="V20" s="691"/>
      <c r="W20" s="701">
        <f t="shared" si="9"/>
        <v>0</v>
      </c>
      <c r="X20" s="691"/>
    </row>
    <row r="21" spans="1:24" ht="15.75" thickBot="1">
      <c r="A21" s="709"/>
      <c r="B21" s="709"/>
      <c r="C21" s="828" t="s">
        <v>21</v>
      </c>
      <c r="D21" s="1317">
        <f t="shared" si="1"/>
        <v>63.716000000000001</v>
      </c>
      <c r="E21" s="1317">
        <f t="shared" si="2"/>
        <v>0</v>
      </c>
      <c r="F21" s="727"/>
      <c r="G21" s="728"/>
      <c r="H21" s="1324">
        <f>I21</f>
        <v>33.819000000000003</v>
      </c>
      <c r="I21" s="688">
        <v>33.819000000000003</v>
      </c>
      <c r="J21" s="688"/>
      <c r="K21" s="688">
        <f>L21</f>
        <v>29.896999999999998</v>
      </c>
      <c r="L21" s="688">
        <v>29.896999999999998</v>
      </c>
      <c r="M21" s="688"/>
      <c r="N21" s="864">
        <f t="shared" si="5"/>
        <v>0</v>
      </c>
      <c r="O21" s="690"/>
      <c r="P21" s="864">
        <f t="shared" si="6"/>
        <v>0</v>
      </c>
      <c r="Q21" s="691"/>
      <c r="R21" s="864">
        <f t="shared" si="7"/>
        <v>0</v>
      </c>
      <c r="S21" s="691"/>
      <c r="T21" s="691"/>
      <c r="U21" s="864">
        <f t="shared" si="8"/>
        <v>0</v>
      </c>
      <c r="V21" s="691"/>
      <c r="W21" s="864">
        <f t="shared" si="9"/>
        <v>0</v>
      </c>
      <c r="X21" s="691"/>
    </row>
    <row r="22" spans="1:24" ht="15.75" thickBot="1">
      <c r="A22" s="684" t="s">
        <v>30</v>
      </c>
      <c r="B22" s="684" t="s">
        <v>31</v>
      </c>
      <c r="C22" s="816" t="s">
        <v>21</v>
      </c>
      <c r="D22" s="1317">
        <f t="shared" si="0"/>
        <v>0</v>
      </c>
      <c r="E22" s="1317">
        <f t="shared" si="2"/>
        <v>0</v>
      </c>
      <c r="F22" s="686">
        <v>0</v>
      </c>
      <c r="G22" s="687">
        <v>0</v>
      </c>
      <c r="H22" s="1324">
        <v>0</v>
      </c>
      <c r="I22" s="688">
        <v>0</v>
      </c>
      <c r="J22" s="688"/>
      <c r="K22" s="1329">
        <v>0</v>
      </c>
      <c r="L22" s="688">
        <v>0</v>
      </c>
      <c r="M22" s="688"/>
      <c r="N22" s="689">
        <f t="shared" si="5"/>
        <v>0</v>
      </c>
      <c r="O22" s="690"/>
      <c r="P22" s="689">
        <f t="shared" si="6"/>
        <v>0</v>
      </c>
      <c r="Q22" s="691"/>
      <c r="R22" s="689">
        <f t="shared" si="7"/>
        <v>0</v>
      </c>
      <c r="S22" s="691"/>
      <c r="T22" s="691"/>
      <c r="U22" s="689">
        <f t="shared" si="8"/>
        <v>0</v>
      </c>
      <c r="V22" s="691"/>
      <c r="W22" s="689">
        <f t="shared" si="9"/>
        <v>0</v>
      </c>
      <c r="X22" s="691"/>
    </row>
    <row r="23" spans="1:24" ht="15.75" thickBot="1">
      <c r="A23" s="1330">
        <v>2</v>
      </c>
      <c r="B23" s="692" t="s">
        <v>32</v>
      </c>
      <c r="C23" s="809" t="s">
        <v>33</v>
      </c>
      <c r="D23" s="1317">
        <f>H23+K23</f>
        <v>0</v>
      </c>
      <c r="E23" s="1317">
        <f t="shared" si="2"/>
        <v>0</v>
      </c>
      <c r="F23" s="1331"/>
      <c r="G23" s="1332"/>
      <c r="H23" s="1324">
        <f t="shared" ref="H23:H28" si="10">I23</f>
        <v>0</v>
      </c>
      <c r="I23" s="688">
        <v>0</v>
      </c>
      <c r="J23" s="1331"/>
      <c r="K23" s="1329">
        <v>0</v>
      </c>
      <c r="L23" s="688">
        <v>0</v>
      </c>
      <c r="M23" s="1331"/>
      <c r="N23" s="1333">
        <f t="shared" si="5"/>
        <v>0</v>
      </c>
      <c r="O23" s="690"/>
      <c r="P23" s="1333">
        <f t="shared" si="6"/>
        <v>0</v>
      </c>
      <c r="Q23" s="691"/>
      <c r="R23" s="1333">
        <f t="shared" si="7"/>
        <v>0</v>
      </c>
      <c r="S23" s="691"/>
      <c r="T23" s="691"/>
      <c r="U23" s="1333">
        <f t="shared" si="8"/>
        <v>0</v>
      </c>
      <c r="V23" s="691"/>
      <c r="W23" s="1333">
        <f t="shared" si="9"/>
        <v>0</v>
      </c>
      <c r="X23" s="691"/>
    </row>
    <row r="24" spans="1:24" ht="15.75" thickBot="1">
      <c r="A24" s="695"/>
      <c r="B24" s="696" t="s">
        <v>34</v>
      </c>
      <c r="C24" s="1334" t="s">
        <v>21</v>
      </c>
      <c r="D24" s="1317">
        <f t="shared" si="0"/>
        <v>0</v>
      </c>
      <c r="E24" s="1317">
        <f t="shared" si="2"/>
        <v>0</v>
      </c>
      <c r="F24" s="699"/>
      <c r="G24" s="700"/>
      <c r="H24" s="1317">
        <f t="shared" si="10"/>
        <v>0</v>
      </c>
      <c r="I24" s="688">
        <v>0</v>
      </c>
      <c r="J24" s="699"/>
      <c r="K24" s="1329">
        <v>0</v>
      </c>
      <c r="L24" s="688">
        <v>0</v>
      </c>
      <c r="M24" s="699"/>
      <c r="N24" s="701">
        <f t="shared" si="5"/>
        <v>0</v>
      </c>
      <c r="O24" s="690"/>
      <c r="P24" s="701">
        <f t="shared" si="6"/>
        <v>0</v>
      </c>
      <c r="Q24" s="691"/>
      <c r="R24" s="701">
        <f t="shared" si="7"/>
        <v>0</v>
      </c>
      <c r="S24" s="691"/>
      <c r="T24" s="691"/>
      <c r="U24" s="701">
        <f t="shared" si="8"/>
        <v>0</v>
      </c>
      <c r="V24" s="691"/>
      <c r="W24" s="701">
        <f t="shared" si="9"/>
        <v>0</v>
      </c>
      <c r="X24" s="691"/>
    </row>
    <row r="25" spans="1:24" ht="15.75" thickBot="1">
      <c r="A25" s="702" t="s">
        <v>35</v>
      </c>
      <c r="B25" s="692" t="s">
        <v>36</v>
      </c>
      <c r="C25" s="809" t="s">
        <v>37</v>
      </c>
      <c r="D25" s="1317">
        <f t="shared" si="0"/>
        <v>0</v>
      </c>
      <c r="E25" s="1317">
        <f t="shared" si="2"/>
        <v>0</v>
      </c>
      <c r="F25" s="699"/>
      <c r="G25" s="700"/>
      <c r="H25" s="1317">
        <f t="shared" si="10"/>
        <v>0</v>
      </c>
      <c r="I25" s="688">
        <v>0</v>
      </c>
      <c r="J25" s="699"/>
      <c r="K25" s="1329">
        <v>0</v>
      </c>
      <c r="L25" s="688">
        <v>0</v>
      </c>
      <c r="M25" s="699"/>
      <c r="N25" s="701">
        <f t="shared" si="5"/>
        <v>0</v>
      </c>
      <c r="O25" s="690"/>
      <c r="P25" s="701">
        <f t="shared" si="6"/>
        <v>0</v>
      </c>
      <c r="Q25" s="691"/>
      <c r="R25" s="701">
        <f t="shared" si="7"/>
        <v>0</v>
      </c>
      <c r="S25" s="691"/>
      <c r="T25" s="691"/>
      <c r="U25" s="701">
        <f t="shared" si="8"/>
        <v>0</v>
      </c>
      <c r="V25" s="691"/>
      <c r="W25" s="701">
        <f t="shared" si="9"/>
        <v>0</v>
      </c>
      <c r="X25" s="691"/>
    </row>
    <row r="26" spans="1:24" ht="15.75" thickBot="1">
      <c r="A26" s="702"/>
      <c r="B26" s="692"/>
      <c r="C26" s="809" t="s">
        <v>21</v>
      </c>
      <c r="D26" s="1317">
        <f t="shared" si="0"/>
        <v>0</v>
      </c>
      <c r="E26" s="1317">
        <f t="shared" si="2"/>
        <v>0</v>
      </c>
      <c r="F26" s="699"/>
      <c r="G26" s="700"/>
      <c r="H26" s="1317">
        <f t="shared" si="10"/>
        <v>0</v>
      </c>
      <c r="I26" s="688">
        <v>0</v>
      </c>
      <c r="J26" s="699"/>
      <c r="K26" s="1329">
        <v>0</v>
      </c>
      <c r="L26" s="688">
        <v>0</v>
      </c>
      <c r="M26" s="699"/>
      <c r="N26" s="701">
        <f t="shared" si="5"/>
        <v>0</v>
      </c>
      <c r="O26" s="690"/>
      <c r="P26" s="701">
        <f t="shared" si="6"/>
        <v>0</v>
      </c>
      <c r="Q26" s="691"/>
      <c r="R26" s="701">
        <f t="shared" si="7"/>
        <v>0</v>
      </c>
      <c r="S26" s="691"/>
      <c r="T26" s="691"/>
      <c r="U26" s="701">
        <f t="shared" si="8"/>
        <v>0</v>
      </c>
      <c r="V26" s="691"/>
      <c r="W26" s="701">
        <f t="shared" si="9"/>
        <v>0</v>
      </c>
      <c r="X26" s="691"/>
    </row>
    <row r="27" spans="1:24" ht="20.25" customHeight="1" thickBot="1">
      <c r="A27" s="703" t="s">
        <v>38</v>
      </c>
      <c r="B27" s="1351" t="s">
        <v>39</v>
      </c>
      <c r="C27" s="845" t="s">
        <v>40</v>
      </c>
      <c r="D27" s="1317">
        <f t="shared" si="0"/>
        <v>0</v>
      </c>
      <c r="E27" s="1317">
        <f t="shared" si="2"/>
        <v>0</v>
      </c>
      <c r="F27" s="699"/>
      <c r="G27" s="700"/>
      <c r="H27" s="1317">
        <f t="shared" si="10"/>
        <v>0</v>
      </c>
      <c r="I27" s="688">
        <v>0</v>
      </c>
      <c r="J27" s="699"/>
      <c r="K27" s="1329">
        <v>0</v>
      </c>
      <c r="L27" s="688">
        <v>0</v>
      </c>
      <c r="M27" s="699"/>
      <c r="N27" s="701">
        <f t="shared" si="5"/>
        <v>0</v>
      </c>
      <c r="O27" s="690"/>
      <c r="P27" s="701">
        <f t="shared" si="6"/>
        <v>0</v>
      </c>
      <c r="Q27" s="691"/>
      <c r="R27" s="701">
        <f t="shared" si="7"/>
        <v>0</v>
      </c>
      <c r="S27" s="691"/>
      <c r="T27" s="691"/>
      <c r="U27" s="701">
        <f t="shared" si="8"/>
        <v>0</v>
      </c>
      <c r="V27" s="691"/>
      <c r="W27" s="701">
        <f t="shared" si="9"/>
        <v>0</v>
      </c>
      <c r="X27" s="691"/>
    </row>
    <row r="28" spans="1:24" ht="17.25" customHeight="1" thickBot="1">
      <c r="A28" s="695"/>
      <c r="B28" s="869" t="s">
        <v>41</v>
      </c>
      <c r="C28" s="1334" t="s">
        <v>21</v>
      </c>
      <c r="D28" s="1317">
        <f t="shared" si="0"/>
        <v>0</v>
      </c>
      <c r="E28" s="1317">
        <f t="shared" si="2"/>
        <v>0</v>
      </c>
      <c r="F28" s="699"/>
      <c r="G28" s="700"/>
      <c r="H28" s="1317">
        <f t="shared" si="10"/>
        <v>0</v>
      </c>
      <c r="I28" s="688">
        <v>0</v>
      </c>
      <c r="J28" s="699"/>
      <c r="K28" s="1329">
        <v>0</v>
      </c>
      <c r="L28" s="688">
        <v>0</v>
      </c>
      <c r="M28" s="699"/>
      <c r="N28" s="701">
        <f t="shared" si="5"/>
        <v>0</v>
      </c>
      <c r="O28" s="690"/>
      <c r="P28" s="701">
        <f t="shared" si="6"/>
        <v>0</v>
      </c>
      <c r="Q28" s="691"/>
      <c r="R28" s="701">
        <f t="shared" si="7"/>
        <v>0</v>
      </c>
      <c r="S28" s="691"/>
      <c r="T28" s="691"/>
      <c r="U28" s="701">
        <f t="shared" si="8"/>
        <v>0</v>
      </c>
      <c r="V28" s="691"/>
      <c r="W28" s="701">
        <f t="shared" si="9"/>
        <v>0</v>
      </c>
      <c r="X28" s="691"/>
    </row>
    <row r="29" spans="1:24" ht="15.75" thickBot="1">
      <c r="A29" s="703" t="s">
        <v>42</v>
      </c>
      <c r="B29" s="704" t="s">
        <v>43</v>
      </c>
      <c r="C29" s="845" t="s">
        <v>40</v>
      </c>
      <c r="D29" s="1317">
        <f t="shared" si="0"/>
        <v>0</v>
      </c>
      <c r="E29" s="1317">
        <f t="shared" si="2"/>
        <v>0</v>
      </c>
      <c r="F29" s="699"/>
      <c r="G29" s="700"/>
      <c r="H29" s="1317">
        <v>0</v>
      </c>
      <c r="I29" s="688">
        <v>0</v>
      </c>
      <c r="J29" s="699"/>
      <c r="K29" s="1329">
        <v>0</v>
      </c>
      <c r="L29" s="688">
        <v>0</v>
      </c>
      <c r="M29" s="699"/>
      <c r="N29" s="701">
        <f t="shared" si="5"/>
        <v>0</v>
      </c>
      <c r="O29" s="690"/>
      <c r="P29" s="701">
        <f t="shared" si="6"/>
        <v>0</v>
      </c>
      <c r="Q29" s="691"/>
      <c r="R29" s="701">
        <f t="shared" si="7"/>
        <v>0</v>
      </c>
      <c r="S29" s="691"/>
      <c r="T29" s="691"/>
      <c r="U29" s="701">
        <f t="shared" si="8"/>
        <v>0</v>
      </c>
      <c r="V29" s="691"/>
      <c r="W29" s="701">
        <f t="shared" si="9"/>
        <v>0</v>
      </c>
      <c r="X29" s="691"/>
    </row>
    <row r="30" spans="1:24" ht="15.75" thickBot="1">
      <c r="A30" s="695"/>
      <c r="B30" s="696" t="s">
        <v>44</v>
      </c>
      <c r="C30" s="1334" t="s">
        <v>21</v>
      </c>
      <c r="D30" s="1317">
        <f t="shared" si="0"/>
        <v>0</v>
      </c>
      <c r="E30" s="1317">
        <f t="shared" si="2"/>
        <v>0</v>
      </c>
      <c r="F30" s="699"/>
      <c r="G30" s="700"/>
      <c r="H30" s="1317">
        <v>0</v>
      </c>
      <c r="I30" s="688">
        <v>0</v>
      </c>
      <c r="J30" s="699"/>
      <c r="K30" s="1329">
        <v>0</v>
      </c>
      <c r="L30" s="688">
        <v>0</v>
      </c>
      <c r="M30" s="699"/>
      <c r="N30" s="701">
        <f t="shared" si="5"/>
        <v>0</v>
      </c>
      <c r="O30" s="690"/>
      <c r="P30" s="701">
        <f t="shared" si="6"/>
        <v>0</v>
      </c>
      <c r="Q30" s="691"/>
      <c r="R30" s="701">
        <f t="shared" si="7"/>
        <v>0</v>
      </c>
      <c r="S30" s="691"/>
      <c r="T30" s="691"/>
      <c r="U30" s="701">
        <f t="shared" si="8"/>
        <v>0</v>
      </c>
      <c r="V30" s="691"/>
      <c r="W30" s="701">
        <f t="shared" si="9"/>
        <v>0</v>
      </c>
      <c r="X30" s="691"/>
    </row>
    <row r="31" spans="1:24" ht="12" customHeight="1" thickBot="1">
      <c r="A31" s="703" t="s">
        <v>45</v>
      </c>
      <c r="B31" s="704" t="s">
        <v>46</v>
      </c>
      <c r="C31" s="845" t="s">
        <v>47</v>
      </c>
      <c r="D31" s="1317">
        <f t="shared" si="0"/>
        <v>0</v>
      </c>
      <c r="E31" s="1317">
        <f t="shared" si="2"/>
        <v>0</v>
      </c>
      <c r="F31" s="699"/>
      <c r="G31" s="700"/>
      <c r="H31" s="1317">
        <v>0</v>
      </c>
      <c r="I31" s="688">
        <v>0</v>
      </c>
      <c r="J31" s="699"/>
      <c r="K31" s="1329">
        <v>0</v>
      </c>
      <c r="L31" s="688">
        <v>0</v>
      </c>
      <c r="M31" s="699"/>
      <c r="N31" s="701">
        <f t="shared" si="5"/>
        <v>0</v>
      </c>
      <c r="O31" s="690"/>
      <c r="P31" s="701">
        <f t="shared" si="6"/>
        <v>0</v>
      </c>
      <c r="Q31" s="691"/>
      <c r="R31" s="701">
        <f t="shared" si="7"/>
        <v>0</v>
      </c>
      <c r="S31" s="691"/>
      <c r="T31" s="691"/>
      <c r="U31" s="701">
        <f t="shared" si="8"/>
        <v>0</v>
      </c>
      <c r="V31" s="691"/>
      <c r="W31" s="701">
        <f t="shared" si="9"/>
        <v>0</v>
      </c>
      <c r="X31" s="691"/>
    </row>
    <row r="32" spans="1:24" ht="11.25" customHeight="1" thickBot="1">
      <c r="A32" s="695"/>
      <c r="B32" s="696"/>
      <c r="C32" s="809" t="s">
        <v>21</v>
      </c>
      <c r="D32" s="1317">
        <f t="shared" si="0"/>
        <v>0</v>
      </c>
      <c r="E32" s="1317">
        <f t="shared" si="2"/>
        <v>0</v>
      </c>
      <c r="F32" s="699"/>
      <c r="G32" s="700"/>
      <c r="H32" s="1317">
        <v>0</v>
      </c>
      <c r="I32" s="688">
        <v>0</v>
      </c>
      <c r="J32" s="699"/>
      <c r="K32" s="1329">
        <v>0</v>
      </c>
      <c r="L32" s="688">
        <v>0</v>
      </c>
      <c r="M32" s="699"/>
      <c r="N32" s="701">
        <f t="shared" si="5"/>
        <v>0</v>
      </c>
      <c r="O32" s="690"/>
      <c r="P32" s="701">
        <f t="shared" si="6"/>
        <v>0</v>
      </c>
      <c r="Q32" s="691"/>
      <c r="R32" s="701">
        <f t="shared" si="7"/>
        <v>0</v>
      </c>
      <c r="S32" s="691"/>
      <c r="T32" s="691"/>
      <c r="U32" s="701">
        <f t="shared" si="8"/>
        <v>0</v>
      </c>
      <c r="V32" s="691"/>
      <c r="W32" s="701">
        <f t="shared" si="9"/>
        <v>0</v>
      </c>
      <c r="X32" s="691"/>
    </row>
    <row r="33" spans="1:24" ht="28.5" customHeight="1" thickBot="1">
      <c r="A33" s="695" t="s">
        <v>48</v>
      </c>
      <c r="B33" s="706" t="s">
        <v>49</v>
      </c>
      <c r="C33" s="816" t="s">
        <v>21</v>
      </c>
      <c r="D33" s="1317">
        <f>H33</f>
        <v>0</v>
      </c>
      <c r="E33" s="1317">
        <f t="shared" si="2"/>
        <v>0</v>
      </c>
      <c r="F33" s="699"/>
      <c r="G33" s="700"/>
      <c r="H33" s="1317">
        <f>I33</f>
        <v>0</v>
      </c>
      <c r="I33" s="688">
        <v>0</v>
      </c>
      <c r="J33" s="699"/>
      <c r="K33" s="1329">
        <v>0</v>
      </c>
      <c r="L33" s="699">
        <v>0</v>
      </c>
      <c r="M33" s="699"/>
      <c r="N33" s="701">
        <f t="shared" si="5"/>
        <v>0</v>
      </c>
      <c r="O33" s="690"/>
      <c r="P33" s="701">
        <f t="shared" si="6"/>
        <v>0</v>
      </c>
      <c r="Q33" s="691"/>
      <c r="R33" s="701">
        <f t="shared" si="7"/>
        <v>0</v>
      </c>
      <c r="S33" s="691"/>
      <c r="T33" s="691"/>
      <c r="U33" s="701">
        <f t="shared" si="8"/>
        <v>0</v>
      </c>
      <c r="V33" s="691"/>
      <c r="W33" s="701">
        <f t="shared" si="9"/>
        <v>0</v>
      </c>
      <c r="X33" s="691"/>
    </row>
    <row r="34" spans="1:24" ht="15.75" thickBot="1">
      <c r="A34" s="707">
        <v>3</v>
      </c>
      <c r="B34" s="708" t="s">
        <v>50</v>
      </c>
      <c r="C34" s="832" t="s">
        <v>51</v>
      </c>
      <c r="D34" s="1317">
        <f>I34+L34</f>
        <v>0.7220000000000002</v>
      </c>
      <c r="E34" s="1317">
        <f t="shared" si="2"/>
        <v>0</v>
      </c>
      <c r="F34" s="699"/>
      <c r="G34" s="700"/>
      <c r="H34" s="1317">
        <f>I34+J34</f>
        <v>0.61700000000000021</v>
      </c>
      <c r="I34" s="699">
        <f>0.207+0.026+0.021+0.011+0.035+0.024+0.011+0.012+0.042+0.046+0.011+0.022+0.035+0.024+0.024+0.044+0.022</f>
        <v>0.61700000000000021</v>
      </c>
      <c r="J34" s="699"/>
      <c r="K34" s="1317">
        <f>L34</f>
        <v>0.10500000000000001</v>
      </c>
      <c r="L34" s="699">
        <f>0.026+0.022+0.032+0.025</f>
        <v>0.10500000000000001</v>
      </c>
      <c r="M34" s="699"/>
      <c r="N34" s="701">
        <v>0</v>
      </c>
      <c r="O34" s="690"/>
      <c r="P34" s="701">
        <f t="shared" si="6"/>
        <v>0</v>
      </c>
      <c r="Q34" s="691"/>
      <c r="R34" s="701">
        <f t="shared" si="7"/>
        <v>0</v>
      </c>
      <c r="S34" s="691"/>
      <c r="T34" s="691"/>
      <c r="U34" s="701">
        <f t="shared" si="8"/>
        <v>0</v>
      </c>
      <c r="V34" s="691"/>
      <c r="W34" s="701">
        <f t="shared" si="9"/>
        <v>0</v>
      </c>
      <c r="X34" s="691"/>
    </row>
    <row r="35" spans="1:24" ht="15.75" thickBot="1">
      <c r="A35" s="709"/>
      <c r="B35" s="710" t="s">
        <v>52</v>
      </c>
      <c r="C35" s="828" t="s">
        <v>21</v>
      </c>
      <c r="D35" s="1317">
        <f>H35+K35</f>
        <v>538.14</v>
      </c>
      <c r="E35" s="1317">
        <f t="shared" si="2"/>
        <v>0</v>
      </c>
      <c r="F35" s="699"/>
      <c r="G35" s="700"/>
      <c r="H35" s="1317">
        <f>I35+J35</f>
        <v>466.03299999999996</v>
      </c>
      <c r="I35" s="699">
        <f>162.664+15.902+16.503+6.728+42.181+8.644+7.338+33.005+36.147+6.728+17.288+27.503+14.679+18.86+34.575+17.288</f>
        <v>466.03299999999996</v>
      </c>
      <c r="J35" s="699"/>
      <c r="K35" s="1317">
        <f>L35</f>
        <v>72.106999999999999</v>
      </c>
      <c r="L35" s="699">
        <f>15.602+17.288+19.571+19.646</f>
        <v>72.106999999999999</v>
      </c>
      <c r="M35" s="699"/>
      <c r="N35" s="701">
        <v>0</v>
      </c>
      <c r="O35" s="690"/>
      <c r="P35" s="701">
        <f t="shared" si="6"/>
        <v>0</v>
      </c>
      <c r="Q35" s="691"/>
      <c r="R35" s="701">
        <f t="shared" si="7"/>
        <v>0</v>
      </c>
      <c r="S35" s="691"/>
      <c r="T35" s="691"/>
      <c r="U35" s="701">
        <f t="shared" si="8"/>
        <v>0</v>
      </c>
      <c r="V35" s="691"/>
      <c r="W35" s="701">
        <f t="shared" si="9"/>
        <v>0</v>
      </c>
      <c r="X35" s="691"/>
    </row>
    <row r="36" spans="1:24" ht="15.75" thickBot="1">
      <c r="A36" s="711">
        <v>4</v>
      </c>
      <c r="B36" s="712" t="s">
        <v>53</v>
      </c>
      <c r="C36" s="808" t="s">
        <v>24</v>
      </c>
      <c r="D36" s="1317">
        <f t="shared" si="0"/>
        <v>1.7999999999999999E-2</v>
      </c>
      <c r="E36" s="1317">
        <f t="shared" si="2"/>
        <v>0</v>
      </c>
      <c r="F36" s="699"/>
      <c r="G36" s="700"/>
      <c r="H36" s="1317">
        <f>I36</f>
        <v>1.7999999999999999E-2</v>
      </c>
      <c r="I36" s="699">
        <v>1.7999999999999999E-2</v>
      </c>
      <c r="J36" s="699"/>
      <c r="K36" s="1317"/>
      <c r="L36" s="699"/>
      <c r="M36" s="699"/>
      <c r="N36" s="714">
        <f t="shared" ref="N36:N72" si="11">O36</f>
        <v>0</v>
      </c>
      <c r="O36" s="715"/>
      <c r="P36" s="698">
        <f t="shared" si="6"/>
        <v>0</v>
      </c>
      <c r="Q36" s="694"/>
      <c r="R36" s="698">
        <f t="shared" si="7"/>
        <v>0</v>
      </c>
      <c r="S36" s="694"/>
      <c r="T36" s="694"/>
      <c r="U36" s="698">
        <f t="shared" si="8"/>
        <v>0</v>
      </c>
      <c r="V36" s="694"/>
      <c r="W36" s="698">
        <f t="shared" si="9"/>
        <v>0</v>
      </c>
      <c r="X36" s="694"/>
    </row>
    <row r="37" spans="1:24" ht="15.75" thickBot="1">
      <c r="A37" s="716"/>
      <c r="B37" s="717"/>
      <c r="C37" s="790" t="s">
        <v>21</v>
      </c>
      <c r="D37" s="1317">
        <f t="shared" si="0"/>
        <v>3.1070000000000002</v>
      </c>
      <c r="E37" s="1317">
        <f t="shared" si="2"/>
        <v>0</v>
      </c>
      <c r="F37" s="699"/>
      <c r="G37" s="700"/>
      <c r="H37" s="1317">
        <f>I37</f>
        <v>3.1070000000000002</v>
      </c>
      <c r="I37" s="699">
        <v>3.1070000000000002</v>
      </c>
      <c r="J37" s="699"/>
      <c r="K37" s="1317"/>
      <c r="L37" s="699"/>
      <c r="M37" s="699"/>
      <c r="N37" s="714">
        <f t="shared" si="11"/>
        <v>0</v>
      </c>
      <c r="O37" s="719"/>
      <c r="P37" s="698">
        <f t="shared" si="6"/>
        <v>0</v>
      </c>
      <c r="Q37" s="720"/>
      <c r="R37" s="698">
        <f t="shared" si="7"/>
        <v>0</v>
      </c>
      <c r="S37" s="720"/>
      <c r="T37" s="720"/>
      <c r="U37" s="698">
        <f t="shared" si="8"/>
        <v>0</v>
      </c>
      <c r="V37" s="720"/>
      <c r="W37" s="698">
        <f t="shared" si="9"/>
        <v>0</v>
      </c>
      <c r="X37" s="720"/>
    </row>
    <row r="38" spans="1:24" ht="15.75" thickBot="1">
      <c r="A38" s="711">
        <v>5</v>
      </c>
      <c r="B38" s="712" t="s">
        <v>54</v>
      </c>
      <c r="C38" s="808" t="s">
        <v>24</v>
      </c>
      <c r="D38" s="1317">
        <f>H38</f>
        <v>0.72699999999999998</v>
      </c>
      <c r="E38" s="1317">
        <f t="shared" si="2"/>
        <v>0</v>
      </c>
      <c r="F38" s="699"/>
      <c r="G38" s="700"/>
      <c r="H38" s="699">
        <f>I38</f>
        <v>0.72699999999999998</v>
      </c>
      <c r="I38" s="699">
        <v>0.72699999999999998</v>
      </c>
      <c r="J38" s="699"/>
      <c r="K38" s="699">
        <v>0</v>
      </c>
      <c r="L38" s="699"/>
      <c r="M38" s="699"/>
      <c r="N38" s="714">
        <f t="shared" si="11"/>
        <v>0</v>
      </c>
      <c r="O38" s="721"/>
      <c r="P38" s="698">
        <f t="shared" si="6"/>
        <v>0</v>
      </c>
      <c r="Q38" s="722"/>
      <c r="R38" s="698">
        <f t="shared" si="7"/>
        <v>0</v>
      </c>
      <c r="S38" s="722"/>
      <c r="T38" s="722"/>
      <c r="U38" s="698">
        <f t="shared" si="8"/>
        <v>0</v>
      </c>
      <c r="V38" s="722"/>
      <c r="W38" s="698">
        <f t="shared" si="9"/>
        <v>0</v>
      </c>
      <c r="X38" s="722"/>
    </row>
    <row r="39" spans="1:24" ht="15.75" thickBot="1">
      <c r="A39" s="723"/>
      <c r="B39" s="710" t="s">
        <v>55</v>
      </c>
      <c r="C39" s="786" t="s">
        <v>56</v>
      </c>
      <c r="D39" s="1317">
        <f t="shared" si="0"/>
        <v>2</v>
      </c>
      <c r="E39" s="1317">
        <f t="shared" si="2"/>
        <v>0</v>
      </c>
      <c r="F39" s="699"/>
      <c r="G39" s="700"/>
      <c r="H39" s="699">
        <v>2</v>
      </c>
      <c r="I39" s="699"/>
      <c r="J39" s="699"/>
      <c r="K39" s="699">
        <f>L39</f>
        <v>0</v>
      </c>
      <c r="L39" s="699"/>
      <c r="M39" s="699"/>
      <c r="N39" s="714">
        <f t="shared" si="11"/>
        <v>0</v>
      </c>
      <c r="O39" s="715"/>
      <c r="P39" s="698">
        <f t="shared" si="6"/>
        <v>0</v>
      </c>
      <c r="Q39" s="724"/>
      <c r="R39" s="698">
        <f t="shared" si="7"/>
        <v>0</v>
      </c>
      <c r="S39" s="724"/>
      <c r="T39" s="724"/>
      <c r="U39" s="698">
        <f t="shared" si="8"/>
        <v>0</v>
      </c>
      <c r="V39" s="724"/>
      <c r="W39" s="698">
        <f t="shared" si="9"/>
        <v>0</v>
      </c>
      <c r="X39" s="724"/>
    </row>
    <row r="40" spans="1:24" ht="15.75" thickBot="1">
      <c r="A40" s="725"/>
      <c r="B40" s="692"/>
      <c r="C40" s="809" t="s">
        <v>21</v>
      </c>
      <c r="D40" s="1317">
        <f t="shared" si="0"/>
        <v>245.666</v>
      </c>
      <c r="E40" s="1317">
        <f t="shared" si="2"/>
        <v>0</v>
      </c>
      <c r="F40" s="727"/>
      <c r="G40" s="728"/>
      <c r="H40" s="699">
        <f>I40</f>
        <v>245.666</v>
      </c>
      <c r="I40" s="699">
        <v>245.666</v>
      </c>
      <c r="J40" s="699"/>
      <c r="K40" s="699">
        <f>L40</f>
        <v>0</v>
      </c>
      <c r="L40" s="699"/>
      <c r="M40" s="699"/>
      <c r="N40" s="729">
        <f t="shared" si="11"/>
        <v>0</v>
      </c>
      <c r="O40" s="730"/>
      <c r="P40" s="726">
        <f t="shared" si="6"/>
        <v>0</v>
      </c>
      <c r="Q40" s="726"/>
      <c r="R40" s="726">
        <f t="shared" si="7"/>
        <v>0</v>
      </c>
      <c r="S40" s="726"/>
      <c r="T40" s="726"/>
      <c r="U40" s="726">
        <f t="shared" si="8"/>
        <v>0</v>
      </c>
      <c r="V40" s="726"/>
      <c r="W40" s="726">
        <f t="shared" si="9"/>
        <v>0</v>
      </c>
      <c r="X40" s="726"/>
    </row>
    <row r="41" spans="1:24" ht="26.25" customHeight="1" thickBot="1">
      <c r="A41" s="731" t="s">
        <v>57</v>
      </c>
      <c r="B41" s="732" t="s">
        <v>58</v>
      </c>
      <c r="C41" s="808" t="s">
        <v>24</v>
      </c>
      <c r="D41" s="1317">
        <f>I41+L41</f>
        <v>0</v>
      </c>
      <c r="E41" s="1317">
        <f t="shared" si="2"/>
        <v>0</v>
      </c>
      <c r="F41" s="733"/>
      <c r="G41" s="734"/>
      <c r="H41" s="1317">
        <f t="shared" ref="H41:H50" si="12">I41</f>
        <v>0</v>
      </c>
      <c r="I41" s="699"/>
      <c r="J41" s="699"/>
      <c r="K41" s="699"/>
      <c r="L41" s="699"/>
      <c r="M41" s="699"/>
      <c r="N41" s="735">
        <f t="shared" si="11"/>
        <v>0</v>
      </c>
      <c r="O41" s="736"/>
      <c r="P41" s="722">
        <f t="shared" si="6"/>
        <v>0</v>
      </c>
      <c r="Q41" s="737"/>
      <c r="R41" s="722">
        <f t="shared" si="7"/>
        <v>0</v>
      </c>
      <c r="S41" s="737"/>
      <c r="T41" s="737"/>
      <c r="U41" s="722">
        <f t="shared" si="8"/>
        <v>0</v>
      </c>
      <c r="V41" s="737"/>
      <c r="W41" s="722"/>
      <c r="X41" s="737"/>
    </row>
    <row r="42" spans="1:24" ht="15.75" thickBot="1">
      <c r="A42" s="738"/>
      <c r="B42" s="739"/>
      <c r="C42" s="1334" t="s">
        <v>21</v>
      </c>
      <c r="D42" s="1317">
        <f>I42+L42</f>
        <v>0</v>
      </c>
      <c r="E42" s="1317">
        <f t="shared" si="2"/>
        <v>0</v>
      </c>
      <c r="F42" s="740"/>
      <c r="G42" s="741"/>
      <c r="H42" s="1317">
        <f t="shared" si="12"/>
        <v>0</v>
      </c>
      <c r="I42" s="699"/>
      <c r="J42" s="699"/>
      <c r="K42" s="699"/>
      <c r="L42" s="699"/>
      <c r="M42" s="699"/>
      <c r="N42" s="742">
        <f t="shared" si="11"/>
        <v>0</v>
      </c>
      <c r="O42" s="715"/>
      <c r="P42" s="720">
        <f t="shared" si="6"/>
        <v>0</v>
      </c>
      <c r="Q42" s="724"/>
      <c r="R42" s="720">
        <f t="shared" si="7"/>
        <v>0</v>
      </c>
      <c r="S42" s="743"/>
      <c r="T42" s="743"/>
      <c r="U42" s="720">
        <f t="shared" si="8"/>
        <v>0</v>
      </c>
      <c r="V42" s="743"/>
      <c r="W42" s="720"/>
      <c r="X42" s="743"/>
    </row>
    <row r="43" spans="1:24" ht="38.25" customHeight="1" thickBot="1">
      <c r="A43" s="744"/>
      <c r="B43" s="732" t="s">
        <v>59</v>
      </c>
      <c r="C43" s="808" t="s">
        <v>24</v>
      </c>
      <c r="D43" s="1317">
        <f t="shared" si="0"/>
        <v>6.9200000000000012E-2</v>
      </c>
      <c r="E43" s="1317">
        <f t="shared" si="2"/>
        <v>0</v>
      </c>
      <c r="F43" s="733"/>
      <c r="G43" s="734"/>
      <c r="H43" s="699">
        <f t="shared" si="12"/>
        <v>6.9200000000000012E-2</v>
      </c>
      <c r="I43" s="699">
        <f>0.055+0.013+0.0006+0.0006</f>
        <v>6.9200000000000012E-2</v>
      </c>
      <c r="J43" s="699"/>
      <c r="K43" s="1317"/>
      <c r="L43" s="699"/>
      <c r="M43" s="699"/>
      <c r="N43" s="745">
        <f t="shared" si="11"/>
        <v>0</v>
      </c>
      <c r="O43" s="690"/>
      <c r="P43" s="745">
        <f t="shared" si="6"/>
        <v>0</v>
      </c>
      <c r="Q43" s="691"/>
      <c r="R43" s="735">
        <f t="shared" si="7"/>
        <v>0</v>
      </c>
      <c r="S43" s="737"/>
      <c r="T43" s="737"/>
      <c r="U43" s="722">
        <f t="shared" si="8"/>
        <v>0</v>
      </c>
      <c r="V43" s="737"/>
      <c r="W43" s="722"/>
      <c r="X43" s="737"/>
    </row>
    <row r="44" spans="1:24" ht="15.75" thickBot="1">
      <c r="A44" s="746"/>
      <c r="B44" s="739"/>
      <c r="C44" s="1334" t="s">
        <v>21</v>
      </c>
      <c r="D44" s="1317">
        <f t="shared" si="0"/>
        <v>112.309</v>
      </c>
      <c r="E44" s="1317">
        <f t="shared" si="2"/>
        <v>0</v>
      </c>
      <c r="F44" s="740"/>
      <c r="G44" s="741"/>
      <c r="H44" s="699">
        <f t="shared" si="12"/>
        <v>112.309</v>
      </c>
      <c r="I44" s="699">
        <f>87.98+22.711+0.539+1.079</f>
        <v>112.309</v>
      </c>
      <c r="J44" s="699"/>
      <c r="K44" s="1317"/>
      <c r="L44" s="699"/>
      <c r="M44" s="699"/>
      <c r="N44" s="747">
        <f t="shared" si="11"/>
        <v>0</v>
      </c>
      <c r="O44" s="690"/>
      <c r="P44" s="747">
        <f t="shared" si="6"/>
        <v>0</v>
      </c>
      <c r="Q44" s="691"/>
      <c r="R44" s="742">
        <f t="shared" si="7"/>
        <v>0</v>
      </c>
      <c r="S44" s="743"/>
      <c r="T44" s="743"/>
      <c r="U44" s="720">
        <f t="shared" si="8"/>
        <v>0</v>
      </c>
      <c r="V44" s="743"/>
      <c r="W44" s="720"/>
      <c r="X44" s="743"/>
    </row>
    <row r="45" spans="1:24" ht="15.75" thickBot="1">
      <c r="A45" s="711">
        <v>7</v>
      </c>
      <c r="B45" s="712" t="s">
        <v>60</v>
      </c>
      <c r="C45" s="808" t="s">
        <v>47</v>
      </c>
      <c r="D45" s="1317">
        <f>I45+L45</f>
        <v>4</v>
      </c>
      <c r="E45" s="1317">
        <f t="shared" si="2"/>
        <v>0</v>
      </c>
      <c r="F45" s="699"/>
      <c r="G45" s="700"/>
      <c r="H45" s="1317">
        <f t="shared" si="12"/>
        <v>4</v>
      </c>
      <c r="I45" s="699">
        <f>4</f>
        <v>4</v>
      </c>
      <c r="J45" s="699"/>
      <c r="K45" s="1317"/>
      <c r="L45" s="699"/>
      <c r="M45" s="699"/>
      <c r="N45" s="714">
        <f t="shared" si="11"/>
        <v>0</v>
      </c>
      <c r="O45" s="715"/>
      <c r="P45" s="698">
        <f t="shared" si="6"/>
        <v>0</v>
      </c>
      <c r="Q45" s="694"/>
      <c r="R45" s="698">
        <f t="shared" si="7"/>
        <v>0</v>
      </c>
      <c r="S45" s="722"/>
      <c r="T45" s="722"/>
      <c r="U45" s="698">
        <f t="shared" si="8"/>
        <v>0</v>
      </c>
      <c r="V45" s="722"/>
      <c r="W45" s="698">
        <f t="shared" ref="W45:W72" si="13">X45</f>
        <v>0</v>
      </c>
      <c r="X45" s="722"/>
    </row>
    <row r="46" spans="1:24" ht="15.75" thickBot="1">
      <c r="A46" s="717"/>
      <c r="B46" s="739" t="s">
        <v>61</v>
      </c>
      <c r="C46" s="790" t="s">
        <v>21</v>
      </c>
      <c r="D46" s="1317">
        <f>I46+L46</f>
        <v>5.2320000000000002</v>
      </c>
      <c r="E46" s="1317">
        <f t="shared" si="2"/>
        <v>0</v>
      </c>
      <c r="F46" s="699"/>
      <c r="G46" s="700"/>
      <c r="H46" s="1317">
        <f t="shared" si="12"/>
        <v>5.2320000000000002</v>
      </c>
      <c r="I46" s="699">
        <f>5.232</f>
        <v>5.2320000000000002</v>
      </c>
      <c r="J46" s="699"/>
      <c r="K46" s="1317"/>
      <c r="L46" s="699"/>
      <c r="M46" s="699"/>
      <c r="N46" s="714">
        <f t="shared" si="11"/>
        <v>0</v>
      </c>
      <c r="O46" s="719"/>
      <c r="P46" s="698">
        <f t="shared" si="6"/>
        <v>0</v>
      </c>
      <c r="Q46" s="720"/>
      <c r="R46" s="698">
        <f t="shared" si="7"/>
        <v>0</v>
      </c>
      <c r="S46" s="720"/>
      <c r="T46" s="720"/>
      <c r="U46" s="698">
        <f t="shared" si="8"/>
        <v>0</v>
      </c>
      <c r="V46" s="720"/>
      <c r="W46" s="698">
        <f t="shared" si="13"/>
        <v>0</v>
      </c>
      <c r="X46" s="720"/>
    </row>
    <row r="47" spans="1:24" ht="15.75" thickBot="1">
      <c r="A47" s="707">
        <v>8</v>
      </c>
      <c r="B47" s="708" t="s">
        <v>62</v>
      </c>
      <c r="C47" s="832" t="s">
        <v>47</v>
      </c>
      <c r="D47" s="1317">
        <f t="shared" si="0"/>
        <v>0</v>
      </c>
      <c r="E47" s="1317">
        <f t="shared" si="2"/>
        <v>0</v>
      </c>
      <c r="F47" s="699"/>
      <c r="G47" s="700"/>
      <c r="H47" s="1317">
        <f t="shared" si="12"/>
        <v>0</v>
      </c>
      <c r="I47" s="699"/>
      <c r="J47" s="699"/>
      <c r="K47" s="1317"/>
      <c r="L47" s="699"/>
      <c r="M47" s="699"/>
      <c r="N47" s="714">
        <f t="shared" si="11"/>
        <v>0</v>
      </c>
      <c r="O47" s="715"/>
      <c r="P47" s="698">
        <f t="shared" si="6"/>
        <v>0</v>
      </c>
      <c r="Q47" s="722"/>
      <c r="R47" s="698">
        <f t="shared" si="7"/>
        <v>0</v>
      </c>
      <c r="S47" s="722"/>
      <c r="T47" s="722"/>
      <c r="U47" s="698">
        <f t="shared" si="8"/>
        <v>0</v>
      </c>
      <c r="V47" s="722"/>
      <c r="W47" s="698">
        <f t="shared" si="13"/>
        <v>0</v>
      </c>
      <c r="X47" s="722"/>
    </row>
    <row r="48" spans="1:24" ht="15.75" thickBot="1">
      <c r="A48" s="748"/>
      <c r="B48" s="749" t="s">
        <v>63</v>
      </c>
      <c r="C48" s="828" t="s">
        <v>21</v>
      </c>
      <c r="D48" s="1317">
        <f t="shared" si="0"/>
        <v>0</v>
      </c>
      <c r="E48" s="1317">
        <f t="shared" si="2"/>
        <v>0</v>
      </c>
      <c r="F48" s="699"/>
      <c r="G48" s="700"/>
      <c r="H48" s="1317">
        <f t="shared" si="12"/>
        <v>0</v>
      </c>
      <c r="I48" s="699"/>
      <c r="J48" s="699"/>
      <c r="K48" s="1317"/>
      <c r="L48" s="699"/>
      <c r="M48" s="699"/>
      <c r="N48" s="714">
        <f t="shared" si="11"/>
        <v>0</v>
      </c>
      <c r="O48" s="730"/>
      <c r="P48" s="698">
        <f t="shared" si="6"/>
        <v>0</v>
      </c>
      <c r="Q48" s="720"/>
      <c r="R48" s="698">
        <f t="shared" si="7"/>
        <v>0</v>
      </c>
      <c r="S48" s="720"/>
      <c r="T48" s="720"/>
      <c r="U48" s="698">
        <f t="shared" si="8"/>
        <v>0</v>
      </c>
      <c r="V48" s="720"/>
      <c r="W48" s="698">
        <f t="shared" si="13"/>
        <v>0</v>
      </c>
      <c r="X48" s="720"/>
    </row>
    <row r="49" spans="1:24" ht="15.75" thickBot="1">
      <c r="A49" s="711">
        <v>9</v>
      </c>
      <c r="B49" s="712" t="s">
        <v>64</v>
      </c>
      <c r="C49" s="808" t="s">
        <v>51</v>
      </c>
      <c r="D49" s="1317">
        <f t="shared" si="0"/>
        <v>0</v>
      </c>
      <c r="E49" s="1317">
        <f t="shared" si="2"/>
        <v>0</v>
      </c>
      <c r="F49" s="699"/>
      <c r="G49" s="700"/>
      <c r="H49" s="1317">
        <f t="shared" si="12"/>
        <v>0</v>
      </c>
      <c r="I49" s="699"/>
      <c r="J49" s="699"/>
      <c r="K49" s="1317"/>
      <c r="L49" s="699"/>
      <c r="M49" s="699"/>
      <c r="N49" s="714">
        <f t="shared" si="11"/>
        <v>0</v>
      </c>
      <c r="O49" s="736"/>
      <c r="P49" s="698">
        <f t="shared" si="6"/>
        <v>0</v>
      </c>
      <c r="Q49" s="722"/>
      <c r="R49" s="698">
        <f t="shared" si="7"/>
        <v>0</v>
      </c>
      <c r="S49" s="722"/>
      <c r="T49" s="722"/>
      <c r="U49" s="698">
        <f t="shared" si="8"/>
        <v>0</v>
      </c>
      <c r="V49" s="722"/>
      <c r="W49" s="698">
        <f t="shared" si="13"/>
        <v>0</v>
      </c>
      <c r="X49" s="722"/>
    </row>
    <row r="50" spans="1:24" ht="15.75" thickBot="1">
      <c r="A50" s="748"/>
      <c r="B50" s="709"/>
      <c r="C50" s="828" t="s">
        <v>21</v>
      </c>
      <c r="D50" s="1317">
        <f t="shared" si="0"/>
        <v>0</v>
      </c>
      <c r="E50" s="1317">
        <f t="shared" si="2"/>
        <v>0</v>
      </c>
      <c r="F50" s="699"/>
      <c r="G50" s="700"/>
      <c r="H50" s="1317">
        <f t="shared" si="12"/>
        <v>0</v>
      </c>
      <c r="I50" s="699"/>
      <c r="J50" s="699"/>
      <c r="K50" s="1317"/>
      <c r="L50" s="699"/>
      <c r="M50" s="699"/>
      <c r="N50" s="714">
        <f t="shared" si="11"/>
        <v>0</v>
      </c>
      <c r="O50" s="730"/>
      <c r="P50" s="698">
        <f t="shared" si="6"/>
        <v>0</v>
      </c>
      <c r="Q50" s="720"/>
      <c r="R50" s="698">
        <f t="shared" si="7"/>
        <v>0</v>
      </c>
      <c r="S50" s="720"/>
      <c r="T50" s="720"/>
      <c r="U50" s="698">
        <f t="shared" si="8"/>
        <v>0</v>
      </c>
      <c r="V50" s="720"/>
      <c r="W50" s="698">
        <f t="shared" si="13"/>
        <v>0</v>
      </c>
      <c r="X50" s="720"/>
    </row>
    <row r="51" spans="1:24" ht="15.75" thickBot="1">
      <c r="A51" s="711">
        <v>10</v>
      </c>
      <c r="B51" s="712" t="s">
        <v>65</v>
      </c>
      <c r="C51" s="808" t="s">
        <v>47</v>
      </c>
      <c r="D51" s="1317">
        <f t="shared" si="0"/>
        <v>5</v>
      </c>
      <c r="E51" s="1317">
        <f t="shared" si="2"/>
        <v>0</v>
      </c>
      <c r="F51" s="699"/>
      <c r="G51" s="700"/>
      <c r="H51" s="1317">
        <f>I51+J51</f>
        <v>5</v>
      </c>
      <c r="I51" s="699">
        <f>2+2+1</f>
        <v>5</v>
      </c>
      <c r="J51" s="699"/>
      <c r="K51" s="1317"/>
      <c r="L51" s="699"/>
      <c r="M51" s="699"/>
      <c r="N51" s="714">
        <f t="shared" si="11"/>
        <v>0</v>
      </c>
      <c r="O51" s="736"/>
      <c r="P51" s="698">
        <f t="shared" si="6"/>
        <v>0</v>
      </c>
      <c r="Q51" s="722"/>
      <c r="R51" s="698">
        <f t="shared" si="7"/>
        <v>0</v>
      </c>
      <c r="S51" s="722"/>
      <c r="T51" s="722"/>
      <c r="U51" s="698">
        <f t="shared" si="8"/>
        <v>0</v>
      </c>
      <c r="V51" s="722"/>
      <c r="W51" s="698">
        <f t="shared" si="13"/>
        <v>0</v>
      </c>
      <c r="X51" s="722"/>
    </row>
    <row r="52" spans="1:24" ht="15.75" thickBot="1">
      <c r="A52" s="750"/>
      <c r="B52" s="739" t="s">
        <v>66</v>
      </c>
      <c r="C52" s="790" t="s">
        <v>21</v>
      </c>
      <c r="D52" s="1317">
        <f>H52</f>
        <v>34.06</v>
      </c>
      <c r="E52" s="1317">
        <f t="shared" si="2"/>
        <v>0</v>
      </c>
      <c r="F52" s="699"/>
      <c r="G52" s="700"/>
      <c r="H52" s="1317">
        <f>I52+J52</f>
        <v>34.06</v>
      </c>
      <c r="I52" s="699">
        <f>19.111+13.631+1.318</f>
        <v>34.06</v>
      </c>
      <c r="J52" s="699"/>
      <c r="K52" s="1317"/>
      <c r="L52" s="699"/>
      <c r="M52" s="699"/>
      <c r="N52" s="714">
        <f t="shared" si="11"/>
        <v>0</v>
      </c>
      <c r="O52" s="719"/>
      <c r="P52" s="698">
        <f t="shared" si="6"/>
        <v>0</v>
      </c>
      <c r="Q52" s="720"/>
      <c r="R52" s="698">
        <f t="shared" si="7"/>
        <v>0</v>
      </c>
      <c r="S52" s="720"/>
      <c r="T52" s="720"/>
      <c r="U52" s="698">
        <f t="shared" si="8"/>
        <v>0</v>
      </c>
      <c r="V52" s="720"/>
      <c r="W52" s="698">
        <f t="shared" si="13"/>
        <v>0</v>
      </c>
      <c r="X52" s="720"/>
    </row>
    <row r="53" spans="1:24" ht="15.75" thickBot="1">
      <c r="A53" s="711">
        <v>11</v>
      </c>
      <c r="B53" s="712" t="s">
        <v>67</v>
      </c>
      <c r="C53" s="808" t="s">
        <v>47</v>
      </c>
      <c r="D53" s="1317">
        <f t="shared" si="0"/>
        <v>3</v>
      </c>
      <c r="E53" s="1317">
        <f t="shared" si="2"/>
        <v>0</v>
      </c>
      <c r="F53" s="699"/>
      <c r="G53" s="700"/>
      <c r="H53" s="1317">
        <f t="shared" ref="H53:H54" si="14">I53</f>
        <v>3</v>
      </c>
      <c r="I53" s="699">
        <f>1+1+1</f>
        <v>3</v>
      </c>
      <c r="J53" s="699"/>
      <c r="K53" s="1317"/>
      <c r="L53" s="699"/>
      <c r="M53" s="699"/>
      <c r="N53" s="714">
        <f t="shared" si="11"/>
        <v>0</v>
      </c>
      <c r="O53" s="736"/>
      <c r="P53" s="698">
        <f t="shared" si="6"/>
        <v>0</v>
      </c>
      <c r="Q53" s="722"/>
      <c r="R53" s="698">
        <f t="shared" si="7"/>
        <v>0</v>
      </c>
      <c r="S53" s="722"/>
      <c r="T53" s="722"/>
      <c r="U53" s="698">
        <f t="shared" si="8"/>
        <v>0</v>
      </c>
      <c r="V53" s="722"/>
      <c r="W53" s="698">
        <f t="shared" si="13"/>
        <v>0</v>
      </c>
      <c r="X53" s="722"/>
    </row>
    <row r="54" spans="1:24" ht="15.75" thickBot="1">
      <c r="A54" s="750"/>
      <c r="B54" s="717"/>
      <c r="C54" s="790" t="s">
        <v>21</v>
      </c>
      <c r="D54" s="1317">
        <f t="shared" si="0"/>
        <v>15.831</v>
      </c>
      <c r="E54" s="1317">
        <f t="shared" si="2"/>
        <v>0</v>
      </c>
      <c r="F54" s="699"/>
      <c r="G54" s="700"/>
      <c r="H54" s="1317">
        <f t="shared" si="14"/>
        <v>15.831</v>
      </c>
      <c r="I54" s="699">
        <f>12.552+1.644+1.635</f>
        <v>15.831</v>
      </c>
      <c r="J54" s="699"/>
      <c r="K54" s="1317"/>
      <c r="L54" s="699"/>
      <c r="M54" s="699"/>
      <c r="N54" s="714">
        <f t="shared" si="11"/>
        <v>0</v>
      </c>
      <c r="O54" s="719"/>
      <c r="P54" s="698">
        <f t="shared" si="6"/>
        <v>0</v>
      </c>
      <c r="Q54" s="720"/>
      <c r="R54" s="698">
        <f t="shared" si="7"/>
        <v>0</v>
      </c>
      <c r="S54" s="720"/>
      <c r="T54" s="720"/>
      <c r="U54" s="698">
        <f t="shared" si="8"/>
        <v>0</v>
      </c>
      <c r="V54" s="720"/>
      <c r="W54" s="698">
        <f t="shared" si="13"/>
        <v>0</v>
      </c>
      <c r="X54" s="720"/>
    </row>
    <row r="55" spans="1:24" ht="15.75" thickBot="1">
      <c r="A55" s="711">
        <v>12</v>
      </c>
      <c r="B55" s="712" t="s">
        <v>68</v>
      </c>
      <c r="C55" s="808" t="s">
        <v>47</v>
      </c>
      <c r="D55" s="1317">
        <f t="shared" si="0"/>
        <v>22</v>
      </c>
      <c r="E55" s="1317">
        <f t="shared" si="2"/>
        <v>0</v>
      </c>
      <c r="F55" s="699"/>
      <c r="G55" s="700"/>
      <c r="H55" s="1317">
        <f>I55+J55</f>
        <v>21</v>
      </c>
      <c r="I55" s="699">
        <f>1+1+5+4+5+5</f>
        <v>21</v>
      </c>
      <c r="K55" s="1317">
        <f>L55+M55</f>
        <v>1</v>
      </c>
      <c r="L55" s="699">
        <f>1</f>
        <v>1</v>
      </c>
      <c r="M55" s="699"/>
      <c r="N55" s="714">
        <f t="shared" si="11"/>
        <v>0</v>
      </c>
      <c r="O55" s="736"/>
      <c r="P55" s="698">
        <f t="shared" si="6"/>
        <v>0</v>
      </c>
      <c r="Q55" s="722"/>
      <c r="R55" s="698">
        <f t="shared" si="7"/>
        <v>0</v>
      </c>
      <c r="S55" s="722"/>
      <c r="T55" s="722"/>
      <c r="U55" s="698">
        <f t="shared" si="8"/>
        <v>0</v>
      </c>
      <c r="V55" s="722"/>
      <c r="W55" s="698">
        <f t="shared" si="13"/>
        <v>0</v>
      </c>
      <c r="X55" s="722"/>
    </row>
    <row r="56" spans="1:24" ht="15.75" thickBot="1">
      <c r="A56" s="750"/>
      <c r="B56" s="739" t="s">
        <v>69</v>
      </c>
      <c r="C56" s="790" t="s">
        <v>21</v>
      </c>
      <c r="D56" s="1317">
        <f t="shared" si="0"/>
        <v>28.928000000000001</v>
      </c>
      <c r="E56" s="1317">
        <f t="shared" si="2"/>
        <v>0</v>
      </c>
      <c r="F56" s="699"/>
      <c r="G56" s="700"/>
      <c r="H56" s="1317">
        <f>I56+J56</f>
        <v>28.339000000000002</v>
      </c>
      <c r="I56" s="699">
        <f>2.268+1.421+1.429+1.484+9.557+4.103+3.612+4.465</f>
        <v>28.339000000000002</v>
      </c>
      <c r="K56" s="1317">
        <f>L56+M56</f>
        <v>0.58899999999999997</v>
      </c>
      <c r="L56" s="699">
        <f>0.589</f>
        <v>0.58899999999999997</v>
      </c>
      <c r="M56" s="699"/>
      <c r="N56" s="714">
        <f t="shared" si="11"/>
        <v>0</v>
      </c>
      <c r="O56" s="719"/>
      <c r="P56" s="698">
        <f t="shared" si="6"/>
        <v>0</v>
      </c>
      <c r="Q56" s="720"/>
      <c r="R56" s="698">
        <f t="shared" si="7"/>
        <v>0</v>
      </c>
      <c r="S56" s="720"/>
      <c r="T56" s="720"/>
      <c r="U56" s="698">
        <f t="shared" si="8"/>
        <v>0</v>
      </c>
      <c r="V56" s="720"/>
      <c r="W56" s="698">
        <f t="shared" si="13"/>
        <v>0</v>
      </c>
      <c r="X56" s="720"/>
    </row>
    <row r="57" spans="1:24" ht="21" customHeight="1" thickBot="1">
      <c r="A57" s="711">
        <v>14</v>
      </c>
      <c r="B57" s="871" t="s">
        <v>70</v>
      </c>
      <c r="C57" s="808" t="s">
        <v>24</v>
      </c>
      <c r="D57" s="1317">
        <f t="shared" si="0"/>
        <v>2.3E-2</v>
      </c>
      <c r="E57" s="1317">
        <f t="shared" si="2"/>
        <v>0</v>
      </c>
      <c r="F57" s="699"/>
      <c r="G57" s="700"/>
      <c r="H57" s="1317">
        <v>2.3E-2</v>
      </c>
      <c r="I57" s="1317">
        <v>2.3E-2</v>
      </c>
      <c r="J57" s="699"/>
      <c r="K57" s="1317"/>
      <c r="L57" s="699"/>
      <c r="M57" s="699"/>
      <c r="N57" s="714">
        <f t="shared" si="11"/>
        <v>0</v>
      </c>
      <c r="O57" s="721"/>
      <c r="P57" s="698">
        <f t="shared" si="6"/>
        <v>0</v>
      </c>
      <c r="Q57" s="722"/>
      <c r="R57" s="698">
        <f t="shared" si="7"/>
        <v>0</v>
      </c>
      <c r="S57" s="722"/>
      <c r="T57" s="722"/>
      <c r="U57" s="698">
        <f t="shared" si="8"/>
        <v>0</v>
      </c>
      <c r="V57" s="722"/>
      <c r="W57" s="698">
        <f t="shared" si="13"/>
        <v>0</v>
      </c>
      <c r="X57" s="722"/>
    </row>
    <row r="58" spans="1:24" ht="24.75" customHeight="1" thickBot="1">
      <c r="A58" s="748"/>
      <c r="B58" s="872" t="s">
        <v>71</v>
      </c>
      <c r="C58" s="828" t="s">
        <v>21</v>
      </c>
      <c r="D58" s="1317">
        <f t="shared" si="0"/>
        <v>10.83</v>
      </c>
      <c r="E58" s="1317">
        <f t="shared" si="2"/>
        <v>0</v>
      </c>
      <c r="F58" s="699"/>
      <c r="G58" s="700"/>
      <c r="H58" s="1317">
        <v>10.83</v>
      </c>
      <c r="I58" s="1317">
        <v>10.83</v>
      </c>
      <c r="J58" s="699"/>
      <c r="K58" s="1317"/>
      <c r="L58" s="699"/>
      <c r="M58" s="699"/>
      <c r="N58" s="714">
        <f t="shared" si="11"/>
        <v>0</v>
      </c>
      <c r="O58" s="730"/>
      <c r="P58" s="698">
        <f t="shared" si="6"/>
        <v>0</v>
      </c>
      <c r="Q58" s="726"/>
      <c r="R58" s="698">
        <f t="shared" si="7"/>
        <v>0</v>
      </c>
      <c r="S58" s="726"/>
      <c r="T58" s="726"/>
      <c r="U58" s="698">
        <f t="shared" si="8"/>
        <v>0</v>
      </c>
      <c r="V58" s="726"/>
      <c r="W58" s="698">
        <f t="shared" si="13"/>
        <v>0</v>
      </c>
      <c r="X58" s="726"/>
    </row>
    <row r="59" spans="1:24" ht="22.5" customHeight="1" thickBot="1">
      <c r="A59" s="751">
        <v>15</v>
      </c>
      <c r="B59" s="870" t="s">
        <v>72</v>
      </c>
      <c r="C59" s="808" t="s">
        <v>47</v>
      </c>
      <c r="D59" s="1317">
        <f t="shared" si="0"/>
        <v>0</v>
      </c>
      <c r="E59" s="1317">
        <f t="shared" si="2"/>
        <v>0</v>
      </c>
      <c r="F59" s="699"/>
      <c r="G59" s="700"/>
      <c r="H59" s="1317"/>
      <c r="I59" s="699"/>
      <c r="J59" s="699"/>
      <c r="K59" s="1317"/>
      <c r="L59" s="699"/>
      <c r="M59" s="699"/>
      <c r="N59" s="714">
        <f t="shared" si="11"/>
        <v>0</v>
      </c>
      <c r="O59" s="721"/>
      <c r="P59" s="698">
        <f t="shared" si="6"/>
        <v>0</v>
      </c>
      <c r="Q59" s="722"/>
      <c r="R59" s="698">
        <f t="shared" si="7"/>
        <v>0</v>
      </c>
      <c r="S59" s="722"/>
      <c r="T59" s="722"/>
      <c r="U59" s="698">
        <f t="shared" si="8"/>
        <v>0</v>
      </c>
      <c r="V59" s="722"/>
      <c r="W59" s="698">
        <f t="shared" si="13"/>
        <v>0</v>
      </c>
      <c r="X59" s="722"/>
    </row>
    <row r="60" spans="1:24" ht="15.75" thickBot="1">
      <c r="A60" s="753"/>
      <c r="B60" s="754" t="s">
        <v>73</v>
      </c>
      <c r="C60" s="828" t="s">
        <v>21</v>
      </c>
      <c r="D60" s="1317">
        <f t="shared" si="0"/>
        <v>0</v>
      </c>
      <c r="E60" s="1317">
        <f t="shared" si="2"/>
        <v>0</v>
      </c>
      <c r="F60" s="727"/>
      <c r="G60" s="728"/>
      <c r="H60" s="1317"/>
      <c r="I60" s="699"/>
      <c r="J60" s="699"/>
      <c r="K60" s="1317"/>
      <c r="L60" s="699"/>
      <c r="M60" s="699"/>
      <c r="N60" s="729">
        <f t="shared" si="11"/>
        <v>0</v>
      </c>
      <c r="O60" s="730"/>
      <c r="P60" s="726">
        <f t="shared" si="6"/>
        <v>0</v>
      </c>
      <c r="Q60" s="726"/>
      <c r="R60" s="726">
        <f t="shared" si="7"/>
        <v>0</v>
      </c>
      <c r="S60" s="726"/>
      <c r="T60" s="726"/>
      <c r="U60" s="726">
        <f t="shared" si="8"/>
        <v>0</v>
      </c>
      <c r="V60" s="726"/>
      <c r="W60" s="726">
        <f t="shared" si="13"/>
        <v>0</v>
      </c>
      <c r="X60" s="726"/>
    </row>
    <row r="61" spans="1:24" ht="15.75" thickBot="1">
      <c r="A61" s="755">
        <v>16</v>
      </c>
      <c r="B61" s="756" t="s">
        <v>74</v>
      </c>
      <c r="C61" s="808" t="s">
        <v>47</v>
      </c>
      <c r="D61" s="1317">
        <f t="shared" si="0"/>
        <v>0</v>
      </c>
      <c r="E61" s="1317">
        <f t="shared" si="2"/>
        <v>0</v>
      </c>
      <c r="F61" s="758"/>
      <c r="G61" s="759"/>
      <c r="H61" s="1317"/>
      <c r="I61" s="699"/>
      <c r="J61" s="699"/>
      <c r="K61" s="1317"/>
      <c r="L61" s="699"/>
      <c r="M61" s="699"/>
      <c r="N61" s="760">
        <f t="shared" si="11"/>
        <v>0</v>
      </c>
      <c r="O61" s="761"/>
      <c r="P61" s="737">
        <f t="shared" si="6"/>
        <v>0</v>
      </c>
      <c r="Q61" s="757"/>
      <c r="R61" s="737">
        <f t="shared" si="7"/>
        <v>0</v>
      </c>
      <c r="S61" s="757"/>
      <c r="T61" s="757"/>
      <c r="U61" s="737">
        <f t="shared" si="8"/>
        <v>0</v>
      </c>
      <c r="V61" s="757"/>
      <c r="W61" s="737">
        <f t="shared" si="13"/>
        <v>0</v>
      </c>
      <c r="X61" s="762"/>
    </row>
    <row r="62" spans="1:24" ht="15.75" thickBot="1">
      <c r="A62" s="763"/>
      <c r="B62" s="764"/>
      <c r="C62" s="790" t="s">
        <v>21</v>
      </c>
      <c r="D62" s="1317">
        <f t="shared" si="0"/>
        <v>0</v>
      </c>
      <c r="E62" s="1317">
        <f t="shared" si="2"/>
        <v>0</v>
      </c>
      <c r="F62" s="766"/>
      <c r="G62" s="767"/>
      <c r="H62" s="1317"/>
      <c r="I62" s="699"/>
      <c r="J62" s="699"/>
      <c r="K62" s="1317"/>
      <c r="L62" s="699"/>
      <c r="M62" s="699"/>
      <c r="N62" s="742">
        <f t="shared" si="11"/>
        <v>0</v>
      </c>
      <c r="O62" s="768"/>
      <c r="P62" s="720">
        <f t="shared" si="6"/>
        <v>0</v>
      </c>
      <c r="Q62" s="765"/>
      <c r="R62" s="720">
        <f t="shared" si="7"/>
        <v>0</v>
      </c>
      <c r="S62" s="765"/>
      <c r="T62" s="765"/>
      <c r="U62" s="720">
        <f t="shared" si="8"/>
        <v>0</v>
      </c>
      <c r="V62" s="765"/>
      <c r="W62" s="720">
        <f t="shared" si="13"/>
        <v>0</v>
      </c>
      <c r="X62" s="769"/>
    </row>
    <row r="63" spans="1:24" ht="32.25" customHeight="1" thickBot="1">
      <c r="A63" s="755">
        <v>17</v>
      </c>
      <c r="B63" s="770" t="s">
        <v>75</v>
      </c>
      <c r="C63" s="808" t="s">
        <v>24</v>
      </c>
      <c r="D63" s="1317">
        <f t="shared" si="0"/>
        <v>0</v>
      </c>
      <c r="E63" s="1317">
        <f t="shared" si="2"/>
        <v>0</v>
      </c>
      <c r="F63" s="758"/>
      <c r="G63" s="759"/>
      <c r="H63" s="1317"/>
      <c r="I63" s="699"/>
      <c r="J63" s="699"/>
      <c r="K63" s="1317"/>
      <c r="L63" s="699"/>
      <c r="M63" s="699"/>
      <c r="N63" s="760">
        <f t="shared" si="11"/>
        <v>0</v>
      </c>
      <c r="O63" s="761"/>
      <c r="P63" s="737">
        <f t="shared" si="6"/>
        <v>0</v>
      </c>
      <c r="Q63" s="757"/>
      <c r="R63" s="737">
        <f t="shared" si="7"/>
        <v>0</v>
      </c>
      <c r="S63" s="757"/>
      <c r="T63" s="757"/>
      <c r="U63" s="737">
        <f t="shared" si="8"/>
        <v>0</v>
      </c>
      <c r="V63" s="757"/>
      <c r="W63" s="737">
        <f t="shared" si="13"/>
        <v>0</v>
      </c>
      <c r="X63" s="762"/>
    </row>
    <row r="64" spans="1:24" ht="15.75" thickBot="1">
      <c r="A64" s="763"/>
      <c r="B64" s="771"/>
      <c r="C64" s="790" t="s">
        <v>21</v>
      </c>
      <c r="D64" s="1317">
        <f t="shared" si="0"/>
        <v>0</v>
      </c>
      <c r="E64" s="1317">
        <f t="shared" si="2"/>
        <v>0</v>
      </c>
      <c r="F64" s="766"/>
      <c r="G64" s="767"/>
      <c r="H64" s="1317"/>
      <c r="I64" s="699"/>
      <c r="J64" s="699"/>
      <c r="K64" s="1317"/>
      <c r="L64" s="699"/>
      <c r="M64" s="699"/>
      <c r="N64" s="742">
        <f t="shared" si="11"/>
        <v>0</v>
      </c>
      <c r="O64" s="768"/>
      <c r="P64" s="720">
        <f t="shared" si="6"/>
        <v>0</v>
      </c>
      <c r="Q64" s="765"/>
      <c r="R64" s="720">
        <f t="shared" si="7"/>
        <v>0</v>
      </c>
      <c r="S64" s="765"/>
      <c r="T64" s="765"/>
      <c r="U64" s="720">
        <f t="shared" si="8"/>
        <v>0</v>
      </c>
      <c r="V64" s="765"/>
      <c r="W64" s="720">
        <f t="shared" si="13"/>
        <v>0</v>
      </c>
      <c r="X64" s="769"/>
    </row>
    <row r="65" spans="1:24" ht="12" customHeight="1" thickBot="1">
      <c r="A65" s="755">
        <v>18</v>
      </c>
      <c r="B65" s="756" t="s">
        <v>76</v>
      </c>
      <c r="C65" s="808" t="s">
        <v>47</v>
      </c>
      <c r="D65" s="1317">
        <f t="shared" si="0"/>
        <v>0</v>
      </c>
      <c r="E65" s="1317">
        <f t="shared" si="2"/>
        <v>0</v>
      </c>
      <c r="F65" s="758"/>
      <c r="G65" s="759"/>
      <c r="H65" s="1317"/>
      <c r="I65" s="699"/>
      <c r="J65" s="699"/>
      <c r="K65" s="1317"/>
      <c r="L65" s="699"/>
      <c r="M65" s="699"/>
      <c r="N65" s="760">
        <f t="shared" si="11"/>
        <v>0</v>
      </c>
      <c r="O65" s="761"/>
      <c r="P65" s="737">
        <f t="shared" si="6"/>
        <v>0</v>
      </c>
      <c r="Q65" s="757"/>
      <c r="R65" s="737">
        <f t="shared" si="7"/>
        <v>0</v>
      </c>
      <c r="S65" s="757"/>
      <c r="T65" s="757"/>
      <c r="U65" s="737">
        <f t="shared" si="8"/>
        <v>0</v>
      </c>
      <c r="V65" s="757"/>
      <c r="W65" s="737">
        <f t="shared" si="13"/>
        <v>0</v>
      </c>
      <c r="X65" s="762"/>
    </row>
    <row r="66" spans="1:24" ht="10.5" customHeight="1" thickBot="1">
      <c r="A66" s="763"/>
      <c r="B66" s="764"/>
      <c r="C66" s="790" t="s">
        <v>21</v>
      </c>
      <c r="D66" s="1317">
        <f t="shared" si="0"/>
        <v>0</v>
      </c>
      <c r="E66" s="1317">
        <f t="shared" si="2"/>
        <v>0</v>
      </c>
      <c r="F66" s="766"/>
      <c r="G66" s="767"/>
      <c r="H66" s="1317"/>
      <c r="I66" s="699"/>
      <c r="J66" s="699"/>
      <c r="K66" s="1317"/>
      <c r="L66" s="699"/>
      <c r="M66" s="699"/>
      <c r="N66" s="742">
        <f t="shared" si="11"/>
        <v>0</v>
      </c>
      <c r="O66" s="768"/>
      <c r="P66" s="720">
        <f t="shared" si="6"/>
        <v>0</v>
      </c>
      <c r="Q66" s="765"/>
      <c r="R66" s="720">
        <f t="shared" si="7"/>
        <v>0</v>
      </c>
      <c r="S66" s="765"/>
      <c r="T66" s="765"/>
      <c r="U66" s="720">
        <f t="shared" si="8"/>
        <v>0</v>
      </c>
      <c r="V66" s="765"/>
      <c r="W66" s="720">
        <f t="shared" si="13"/>
        <v>0</v>
      </c>
      <c r="X66" s="769"/>
    </row>
    <row r="67" spans="1:24" ht="12" customHeight="1" thickBot="1">
      <c r="A67" s="755">
        <v>19</v>
      </c>
      <c r="B67" s="756" t="s">
        <v>77</v>
      </c>
      <c r="C67" s="808" t="s">
        <v>47</v>
      </c>
      <c r="D67" s="1317">
        <f t="shared" si="0"/>
        <v>0</v>
      </c>
      <c r="E67" s="1317">
        <f t="shared" si="2"/>
        <v>0</v>
      </c>
      <c r="F67" s="758"/>
      <c r="G67" s="759"/>
      <c r="H67" s="1317"/>
      <c r="I67" s="699"/>
      <c r="J67" s="699"/>
      <c r="K67" s="1317"/>
      <c r="L67" s="699"/>
      <c r="M67" s="699"/>
      <c r="N67" s="760">
        <f t="shared" si="11"/>
        <v>0</v>
      </c>
      <c r="O67" s="761"/>
      <c r="P67" s="737">
        <f t="shared" si="6"/>
        <v>0</v>
      </c>
      <c r="Q67" s="757"/>
      <c r="R67" s="737">
        <f t="shared" si="7"/>
        <v>0</v>
      </c>
      <c r="S67" s="757"/>
      <c r="T67" s="757"/>
      <c r="U67" s="737">
        <f t="shared" si="8"/>
        <v>0</v>
      </c>
      <c r="V67" s="757"/>
      <c r="W67" s="737">
        <f t="shared" si="13"/>
        <v>0</v>
      </c>
      <c r="X67" s="762"/>
    </row>
    <row r="68" spans="1:24" ht="15.75" thickBot="1">
      <c r="A68" s="763"/>
      <c r="B68" s="764"/>
      <c r="C68" s="790" t="s">
        <v>21</v>
      </c>
      <c r="D68" s="1317">
        <f t="shared" si="0"/>
        <v>0</v>
      </c>
      <c r="E68" s="1317">
        <f t="shared" si="2"/>
        <v>0</v>
      </c>
      <c r="F68" s="766"/>
      <c r="G68" s="767"/>
      <c r="H68" s="1317"/>
      <c r="I68" s="699"/>
      <c r="J68" s="699"/>
      <c r="K68" s="1317"/>
      <c r="L68" s="699"/>
      <c r="M68" s="699"/>
      <c r="N68" s="742">
        <f t="shared" si="11"/>
        <v>0</v>
      </c>
      <c r="O68" s="768"/>
      <c r="P68" s="720">
        <f t="shared" si="6"/>
        <v>0</v>
      </c>
      <c r="Q68" s="765"/>
      <c r="R68" s="720">
        <f t="shared" si="7"/>
        <v>0</v>
      </c>
      <c r="S68" s="765"/>
      <c r="T68" s="765"/>
      <c r="U68" s="720">
        <f t="shared" si="8"/>
        <v>0</v>
      </c>
      <c r="V68" s="765"/>
      <c r="W68" s="720">
        <f t="shared" si="13"/>
        <v>0</v>
      </c>
      <c r="X68" s="769"/>
    </row>
    <row r="69" spans="1:24" ht="21" customHeight="1" thickBot="1">
      <c r="A69" s="755">
        <v>20</v>
      </c>
      <c r="B69" s="770" t="s">
        <v>78</v>
      </c>
      <c r="C69" s="808" t="s">
        <v>79</v>
      </c>
      <c r="D69" s="1317">
        <f t="shared" si="0"/>
        <v>0</v>
      </c>
      <c r="E69" s="1317">
        <f t="shared" si="2"/>
        <v>0</v>
      </c>
      <c r="F69" s="758"/>
      <c r="G69" s="759"/>
      <c r="H69" s="1317"/>
      <c r="I69" s="699"/>
      <c r="J69" s="699"/>
      <c r="K69" s="1317"/>
      <c r="L69" s="699"/>
      <c r="M69" s="699"/>
      <c r="N69" s="760">
        <f t="shared" si="11"/>
        <v>0</v>
      </c>
      <c r="O69" s="761"/>
      <c r="P69" s="737">
        <f t="shared" si="6"/>
        <v>0</v>
      </c>
      <c r="Q69" s="757"/>
      <c r="R69" s="737">
        <f t="shared" si="7"/>
        <v>0</v>
      </c>
      <c r="S69" s="757"/>
      <c r="T69" s="757"/>
      <c r="U69" s="737">
        <f t="shared" si="8"/>
        <v>0</v>
      </c>
      <c r="V69" s="757"/>
      <c r="W69" s="737">
        <f t="shared" si="13"/>
        <v>0</v>
      </c>
      <c r="X69" s="762"/>
    </row>
    <row r="70" spans="1:24" ht="15.75" thickBot="1">
      <c r="A70" s="763"/>
      <c r="B70" s="764"/>
      <c r="C70" s="790" t="s">
        <v>21</v>
      </c>
      <c r="D70" s="1317">
        <f t="shared" si="0"/>
        <v>0</v>
      </c>
      <c r="E70" s="1317">
        <f t="shared" si="2"/>
        <v>0</v>
      </c>
      <c r="F70" s="766"/>
      <c r="G70" s="767"/>
      <c r="H70" s="1317"/>
      <c r="I70" s="699"/>
      <c r="J70" s="699"/>
      <c r="K70" s="1317"/>
      <c r="L70" s="699"/>
      <c r="M70" s="699"/>
      <c r="N70" s="742">
        <f t="shared" si="11"/>
        <v>0</v>
      </c>
      <c r="O70" s="768"/>
      <c r="P70" s="720">
        <f t="shared" si="6"/>
        <v>0</v>
      </c>
      <c r="Q70" s="765"/>
      <c r="R70" s="720">
        <f t="shared" si="7"/>
        <v>0</v>
      </c>
      <c r="S70" s="765"/>
      <c r="T70" s="765"/>
      <c r="U70" s="720">
        <f t="shared" si="8"/>
        <v>0</v>
      </c>
      <c r="V70" s="765"/>
      <c r="W70" s="720">
        <f t="shared" si="13"/>
        <v>0</v>
      </c>
      <c r="X70" s="769"/>
    </row>
    <row r="71" spans="1:24" ht="21" customHeight="1" thickBot="1">
      <c r="A71" s="755">
        <v>21</v>
      </c>
      <c r="B71" s="770" t="s">
        <v>80</v>
      </c>
      <c r="C71" s="808" t="s">
        <v>24</v>
      </c>
      <c r="D71" s="1317">
        <f t="shared" si="0"/>
        <v>0</v>
      </c>
      <c r="E71" s="1317">
        <f t="shared" si="2"/>
        <v>0</v>
      </c>
      <c r="F71" s="758"/>
      <c r="G71" s="759"/>
      <c r="H71" s="1317"/>
      <c r="I71" s="699"/>
      <c r="J71" s="699"/>
      <c r="K71" s="1317"/>
      <c r="L71" s="699"/>
      <c r="M71" s="699"/>
      <c r="N71" s="760">
        <f t="shared" si="11"/>
        <v>0</v>
      </c>
      <c r="O71" s="761"/>
      <c r="P71" s="737">
        <f t="shared" si="6"/>
        <v>0</v>
      </c>
      <c r="Q71" s="757"/>
      <c r="R71" s="737">
        <f t="shared" si="7"/>
        <v>0</v>
      </c>
      <c r="S71" s="757"/>
      <c r="T71" s="757"/>
      <c r="U71" s="737">
        <f t="shared" si="8"/>
        <v>0</v>
      </c>
      <c r="V71" s="757"/>
      <c r="W71" s="737">
        <f t="shared" si="13"/>
        <v>0</v>
      </c>
      <c r="X71" s="762"/>
    </row>
    <row r="72" spans="1:24" ht="15.75" thickBot="1">
      <c r="A72" s="763"/>
      <c r="B72" s="764"/>
      <c r="C72" s="790" t="s">
        <v>21</v>
      </c>
      <c r="D72" s="1317">
        <f t="shared" si="0"/>
        <v>0</v>
      </c>
      <c r="E72" s="1317">
        <f t="shared" si="2"/>
        <v>0</v>
      </c>
      <c r="F72" s="766"/>
      <c r="G72" s="767"/>
      <c r="H72" s="1317"/>
      <c r="I72" s="699"/>
      <c r="J72" s="699"/>
      <c r="K72" s="1317"/>
      <c r="L72" s="699"/>
      <c r="M72" s="699"/>
      <c r="N72" s="742">
        <f t="shared" si="11"/>
        <v>0</v>
      </c>
      <c r="O72" s="768"/>
      <c r="P72" s="720">
        <f t="shared" si="6"/>
        <v>0</v>
      </c>
      <c r="Q72" s="765"/>
      <c r="R72" s="720">
        <f t="shared" si="7"/>
        <v>0</v>
      </c>
      <c r="S72" s="765"/>
      <c r="T72" s="765"/>
      <c r="U72" s="720">
        <f t="shared" si="8"/>
        <v>0</v>
      </c>
      <c r="V72" s="765"/>
      <c r="W72" s="720">
        <f t="shared" si="13"/>
        <v>0</v>
      </c>
      <c r="X72" s="769"/>
    </row>
    <row r="73" spans="1:24" ht="16.5" thickTop="1" thickBot="1">
      <c r="A73" s="1335" t="s">
        <v>81</v>
      </c>
      <c r="B73" s="1336" t="s">
        <v>82</v>
      </c>
      <c r="C73" s="1337" t="s">
        <v>21</v>
      </c>
      <c r="D73" s="1317">
        <f>D75+D85+D87</f>
        <v>740.29000000000008</v>
      </c>
      <c r="E73" s="1317">
        <f t="shared" si="2"/>
        <v>0</v>
      </c>
      <c r="F73" s="1338">
        <f t="shared" ref="F73:X73" si="15">F75+F85+F87</f>
        <v>0</v>
      </c>
      <c r="G73" s="1339">
        <f t="shared" si="15"/>
        <v>0</v>
      </c>
      <c r="H73" s="1340">
        <f>H75+H85+H87</f>
        <v>707.71699999999998</v>
      </c>
      <c r="I73" s="1340">
        <f>I75+I85+I87</f>
        <v>707.71699999999998</v>
      </c>
      <c r="J73" s="1340"/>
      <c r="K73" s="724">
        <f>L73</f>
        <v>32.573</v>
      </c>
      <c r="L73" s="724">
        <f>L75+L85+L87</f>
        <v>32.573</v>
      </c>
      <c r="M73" s="724"/>
      <c r="N73" s="1338">
        <f t="shared" si="15"/>
        <v>0</v>
      </c>
      <c r="O73" s="1338">
        <f t="shared" si="15"/>
        <v>0</v>
      </c>
      <c r="P73" s="1338">
        <f t="shared" si="15"/>
        <v>0</v>
      </c>
      <c r="Q73" s="1338">
        <f t="shared" si="15"/>
        <v>0</v>
      </c>
      <c r="R73" s="1338">
        <f t="shared" si="15"/>
        <v>0</v>
      </c>
      <c r="S73" s="1338">
        <f t="shared" si="15"/>
        <v>0</v>
      </c>
      <c r="T73" s="1338">
        <f t="shared" si="15"/>
        <v>0</v>
      </c>
      <c r="U73" s="1338">
        <f t="shared" si="15"/>
        <v>0</v>
      </c>
      <c r="V73" s="1338">
        <f t="shared" si="15"/>
        <v>0</v>
      </c>
      <c r="W73" s="1338">
        <f t="shared" si="15"/>
        <v>0</v>
      </c>
      <c r="X73" s="1338">
        <f t="shared" si="15"/>
        <v>0</v>
      </c>
    </row>
    <row r="74" spans="1:24" ht="16.5" thickTop="1" thickBot="1">
      <c r="A74" s="707">
        <v>18</v>
      </c>
      <c r="B74" s="779" t="s">
        <v>83</v>
      </c>
      <c r="C74" s="835" t="s">
        <v>51</v>
      </c>
      <c r="D74" s="1317">
        <f>H74+K74</f>
        <v>0.40265000000000006</v>
      </c>
      <c r="E74" s="1317">
        <f t="shared" si="2"/>
        <v>0</v>
      </c>
      <c r="F74" s="694">
        <f t="shared" ref="F74:G75" si="16">F76+F78+F80+F82</f>
        <v>0</v>
      </c>
      <c r="G74" s="694">
        <f t="shared" si="16"/>
        <v>0</v>
      </c>
      <c r="H74" s="1324">
        <f t="shared" ref="H74:H85" si="17">I74</f>
        <v>0.38015000000000004</v>
      </c>
      <c r="I74" s="781">
        <f>I76+I78+I80+I82</f>
        <v>0.38015000000000004</v>
      </c>
      <c r="J74" s="781"/>
      <c r="K74" s="1329">
        <f>K76+K78+K80+K82</f>
        <v>2.2499999999999999E-2</v>
      </c>
      <c r="L74" s="781">
        <f>+L78+L80</f>
        <v>2.2499999999999999E-2</v>
      </c>
      <c r="M74" s="781"/>
      <c r="N74" s="782">
        <f t="shared" ref="N74:X75" si="18">N76+N78+N80+N82</f>
        <v>0</v>
      </c>
      <c r="O74" s="694">
        <f t="shared" si="18"/>
        <v>0</v>
      </c>
      <c r="P74" s="694">
        <f t="shared" si="18"/>
        <v>0</v>
      </c>
      <c r="Q74" s="694">
        <f t="shared" si="18"/>
        <v>0</v>
      </c>
      <c r="R74" s="694">
        <f t="shared" si="18"/>
        <v>0</v>
      </c>
      <c r="S74" s="694">
        <f t="shared" si="18"/>
        <v>0</v>
      </c>
      <c r="T74" s="694">
        <f t="shared" si="18"/>
        <v>0</v>
      </c>
      <c r="U74" s="694">
        <f t="shared" si="18"/>
        <v>0</v>
      </c>
      <c r="V74" s="694">
        <f t="shared" si="18"/>
        <v>0</v>
      </c>
      <c r="W74" s="694">
        <f t="shared" si="18"/>
        <v>0</v>
      </c>
      <c r="X74" s="694">
        <f t="shared" si="18"/>
        <v>0</v>
      </c>
    </row>
    <row r="75" spans="1:24" ht="15.75" thickBot="1">
      <c r="A75" s="783"/>
      <c r="B75" s="779" t="s">
        <v>84</v>
      </c>
      <c r="C75" s="1341" t="s">
        <v>21</v>
      </c>
      <c r="D75" s="1317">
        <f>D77+D79+D81+D83</f>
        <v>584.99599999999998</v>
      </c>
      <c r="E75" s="1317">
        <f t="shared" si="2"/>
        <v>0</v>
      </c>
      <c r="F75" s="694">
        <f t="shared" si="16"/>
        <v>0</v>
      </c>
      <c r="G75" s="694">
        <f t="shared" si="16"/>
        <v>0</v>
      </c>
      <c r="H75" s="1324">
        <f t="shared" si="17"/>
        <v>558.47099999999989</v>
      </c>
      <c r="I75" s="781">
        <f>I77+I79+I81+I83</f>
        <v>558.47099999999989</v>
      </c>
      <c r="J75" s="781"/>
      <c r="K75" s="1329">
        <f>K79+K81</f>
        <v>26.525000000000002</v>
      </c>
      <c r="L75" s="781">
        <f>L79+L81</f>
        <v>26.525000000000002</v>
      </c>
      <c r="M75" s="781"/>
      <c r="N75" s="782">
        <f t="shared" si="18"/>
        <v>0</v>
      </c>
      <c r="O75" s="694">
        <f t="shared" si="18"/>
        <v>0</v>
      </c>
      <c r="P75" s="694">
        <f t="shared" si="18"/>
        <v>0</v>
      </c>
      <c r="Q75" s="694">
        <f t="shared" si="18"/>
        <v>0</v>
      </c>
      <c r="R75" s="694">
        <f t="shared" si="18"/>
        <v>0</v>
      </c>
      <c r="S75" s="694">
        <f t="shared" si="18"/>
        <v>0</v>
      </c>
      <c r="T75" s="694">
        <f t="shared" si="18"/>
        <v>0</v>
      </c>
      <c r="U75" s="694">
        <f t="shared" si="18"/>
        <v>0</v>
      </c>
      <c r="V75" s="694">
        <f t="shared" si="18"/>
        <v>0</v>
      </c>
      <c r="W75" s="694">
        <f t="shared" si="18"/>
        <v>0</v>
      </c>
      <c r="X75" s="694">
        <f t="shared" si="18"/>
        <v>0</v>
      </c>
    </row>
    <row r="76" spans="1:24" ht="15.75" thickBot="1">
      <c r="A76" s="785" t="s">
        <v>85</v>
      </c>
      <c r="B76" s="786" t="s">
        <v>86</v>
      </c>
      <c r="C76" s="1341" t="s">
        <v>87</v>
      </c>
      <c r="D76" s="1317">
        <f t="shared" ref="D76:D85" si="19">I76+L76</f>
        <v>2.4000000000000002E-3</v>
      </c>
      <c r="E76" s="1317">
        <f t="shared" si="2"/>
        <v>0</v>
      </c>
      <c r="F76" s="699"/>
      <c r="G76" s="699"/>
      <c r="H76" s="1324">
        <f t="shared" si="17"/>
        <v>2.4000000000000002E-3</v>
      </c>
      <c r="I76" s="688">
        <f>0.0002*2+0.001+0.001</f>
        <v>2.4000000000000002E-3</v>
      </c>
      <c r="J76" s="688"/>
      <c r="K76" s="1329">
        <f>L76</f>
        <v>0</v>
      </c>
      <c r="L76" s="688">
        <v>0</v>
      </c>
      <c r="M76" s="688"/>
      <c r="N76" s="714">
        <f t="shared" ref="N76:N87" si="20">O76</f>
        <v>0</v>
      </c>
      <c r="O76" s="787"/>
      <c r="P76" s="698">
        <f t="shared" ref="P76:P87" si="21">Q76</f>
        <v>0</v>
      </c>
      <c r="Q76" s="698"/>
      <c r="R76" s="698">
        <f t="shared" ref="R76:R87" si="22">S76+T76</f>
        <v>0</v>
      </c>
      <c r="S76" s="698"/>
      <c r="T76" s="698"/>
      <c r="U76" s="698">
        <f t="shared" ref="U76:U87" si="23">V76</f>
        <v>0</v>
      </c>
      <c r="V76" s="698"/>
      <c r="W76" s="698">
        <f t="shared" ref="W76:W87" si="24">X76</f>
        <v>0</v>
      </c>
      <c r="X76" s="698"/>
    </row>
    <row r="77" spans="1:24" ht="15.75" thickBot="1">
      <c r="A77" s="788"/>
      <c r="B77" s="786"/>
      <c r="C77" s="1341" t="s">
        <v>21</v>
      </c>
      <c r="D77" s="1317">
        <f t="shared" si="19"/>
        <v>2.5009999999999999</v>
      </c>
      <c r="E77" s="1317">
        <f t="shared" si="2"/>
        <v>0</v>
      </c>
      <c r="F77" s="699"/>
      <c r="G77" s="699"/>
      <c r="H77" s="1324">
        <f t="shared" si="17"/>
        <v>2.5009999999999999</v>
      </c>
      <c r="I77" s="688">
        <f>0.332+0.203+0.983+0.983</f>
        <v>2.5009999999999999</v>
      </c>
      <c r="J77" s="688"/>
      <c r="K77" s="1329">
        <f>L77</f>
        <v>0</v>
      </c>
      <c r="L77" s="688">
        <v>0</v>
      </c>
      <c r="M77" s="688"/>
      <c r="N77" s="714">
        <f t="shared" si="20"/>
        <v>0</v>
      </c>
      <c r="O77" s="787"/>
      <c r="P77" s="698">
        <f t="shared" si="21"/>
        <v>0</v>
      </c>
      <c r="Q77" s="698"/>
      <c r="R77" s="698">
        <f t="shared" si="22"/>
        <v>0</v>
      </c>
      <c r="S77" s="698"/>
      <c r="T77" s="698"/>
      <c r="U77" s="698">
        <f t="shared" si="23"/>
        <v>0</v>
      </c>
      <c r="V77" s="698"/>
      <c r="W77" s="698">
        <f t="shared" si="24"/>
        <v>0</v>
      </c>
      <c r="X77" s="698"/>
    </row>
    <row r="78" spans="1:24" ht="15.75" thickBot="1">
      <c r="A78" s="785" t="s">
        <v>88</v>
      </c>
      <c r="B78" s="786" t="s">
        <v>89</v>
      </c>
      <c r="C78" s="1341" t="s">
        <v>51</v>
      </c>
      <c r="D78" s="1317">
        <f>H78+K78</f>
        <v>0.13420000000000001</v>
      </c>
      <c r="E78" s="1317">
        <f t="shared" si="2"/>
        <v>0</v>
      </c>
      <c r="F78" s="699"/>
      <c r="G78" s="699"/>
      <c r="H78" s="1324">
        <f t="shared" si="17"/>
        <v>0.1295</v>
      </c>
      <c r="I78" s="688">
        <f>0.003+0.001+0.0015+0.012+0.001+0.001+0.001+0.008+0.004+0.008+0.006+0.001+0.002+0.01+0.025+0.007+0.002+0.02+0.016</f>
        <v>0.1295</v>
      </c>
      <c r="K78" s="1329">
        <f>L78+M78</f>
        <v>4.6999999999999993E-3</v>
      </c>
      <c r="L78" s="688">
        <f>0.004+0.0002+0.0005</f>
        <v>4.6999999999999993E-3</v>
      </c>
      <c r="M78" s="688"/>
      <c r="N78" s="714">
        <f t="shared" si="20"/>
        <v>0</v>
      </c>
      <c r="O78" s="787"/>
      <c r="P78" s="698">
        <f t="shared" si="21"/>
        <v>0</v>
      </c>
      <c r="Q78" s="698"/>
      <c r="R78" s="698">
        <f t="shared" si="22"/>
        <v>0</v>
      </c>
      <c r="S78" s="698"/>
      <c r="T78" s="698"/>
      <c r="U78" s="698">
        <f t="shared" si="23"/>
        <v>0</v>
      </c>
      <c r="V78" s="698"/>
      <c r="W78" s="698">
        <f t="shared" si="24"/>
        <v>0</v>
      </c>
      <c r="X78" s="698"/>
    </row>
    <row r="79" spans="1:24" ht="15.75" thickBot="1">
      <c r="A79" s="788"/>
      <c r="B79" s="786"/>
      <c r="C79" s="1341" t="s">
        <v>21</v>
      </c>
      <c r="D79" s="1317">
        <f>H79+K79</f>
        <v>142.84099999999998</v>
      </c>
      <c r="E79" s="1317">
        <f t="shared" si="2"/>
        <v>0</v>
      </c>
      <c r="F79" s="699"/>
      <c r="G79" s="699"/>
      <c r="H79" s="1324">
        <f t="shared" si="17"/>
        <v>138.24099999999999</v>
      </c>
      <c r="I79" s="688">
        <f>4.839+2.497+12.424+2.002+1.442+1.259+9.283+3.992+14.991+0.924+2.841+12.067+27.191+9.852+1.33+11.743+19.564</f>
        <v>138.24099999999999</v>
      </c>
      <c r="K79" s="1329">
        <f>L79+M79</f>
        <v>4.6000000000000005</v>
      </c>
      <c r="L79" s="688">
        <f>3.935+0.332+0.333</f>
        <v>4.6000000000000005</v>
      </c>
      <c r="M79" s="688"/>
      <c r="N79" s="714">
        <f t="shared" si="20"/>
        <v>0</v>
      </c>
      <c r="O79" s="787"/>
      <c r="P79" s="698">
        <f t="shared" si="21"/>
        <v>0</v>
      </c>
      <c r="Q79" s="698"/>
      <c r="R79" s="698">
        <f t="shared" si="22"/>
        <v>0</v>
      </c>
      <c r="S79" s="698"/>
      <c r="T79" s="698"/>
      <c r="U79" s="698">
        <f t="shared" si="23"/>
        <v>0</v>
      </c>
      <c r="V79" s="698"/>
      <c r="W79" s="698">
        <f t="shared" si="24"/>
        <v>0</v>
      </c>
      <c r="X79" s="698"/>
    </row>
    <row r="80" spans="1:24" ht="15.75" thickBot="1">
      <c r="A80" s="785" t="s">
        <v>90</v>
      </c>
      <c r="B80" s="786" t="s">
        <v>91</v>
      </c>
      <c r="C80" s="1341" t="s">
        <v>51</v>
      </c>
      <c r="D80" s="1317">
        <f>H80+K80</f>
        <v>0.17020000000000005</v>
      </c>
      <c r="E80" s="1317">
        <f t="shared" ref="E80:E99" si="25">F80+G80</f>
        <v>0</v>
      </c>
      <c r="F80" s="699"/>
      <c r="G80" s="699"/>
      <c r="H80" s="1324">
        <f t="shared" si="17"/>
        <v>0.15240000000000004</v>
      </c>
      <c r="I80" s="688">
        <f>0.004+0.003+0.0002+0.0002+0.0044+0.002+0.0012+0.005+0.01+0.016+0.006+0.001+0.003+0.001+0.001+0.0002+0.001+0.005+0.005+0.004+0.0015+0.012+0.028+0.009+0.004+0.002+0.008+0.001+0.0002+0.002+0.002+0.004+0.004+0.0015</f>
        <v>0.15240000000000004</v>
      </c>
      <c r="K80" s="1329">
        <f>L80+M80</f>
        <v>1.78E-2</v>
      </c>
      <c r="L80" s="688">
        <f>0.011+0.004+0.0002+0.0026</f>
        <v>1.78E-2</v>
      </c>
      <c r="M80" s="688"/>
      <c r="N80" s="714">
        <f t="shared" si="20"/>
        <v>0</v>
      </c>
      <c r="O80" s="787"/>
      <c r="P80" s="698">
        <f t="shared" si="21"/>
        <v>0</v>
      </c>
      <c r="Q80" s="698"/>
      <c r="R80" s="698">
        <f t="shared" si="22"/>
        <v>0</v>
      </c>
      <c r="S80" s="698"/>
      <c r="T80" s="698"/>
      <c r="U80" s="698">
        <f t="shared" si="23"/>
        <v>0</v>
      </c>
      <c r="V80" s="698"/>
      <c r="W80" s="698">
        <f t="shared" si="24"/>
        <v>0</v>
      </c>
      <c r="X80" s="698"/>
    </row>
    <row r="81" spans="1:24" ht="15.75" thickBot="1">
      <c r="A81" s="788"/>
      <c r="B81" s="786"/>
      <c r="C81" s="1341" t="s">
        <v>21</v>
      </c>
      <c r="D81" s="1317">
        <f>H81+L81</f>
        <v>217.32999999999998</v>
      </c>
      <c r="E81" s="1317">
        <f t="shared" si="25"/>
        <v>0</v>
      </c>
      <c r="F81" s="699"/>
      <c r="G81" s="699"/>
      <c r="H81" s="1324">
        <f t="shared" si="17"/>
        <v>195.40499999999997</v>
      </c>
      <c r="I81" s="688">
        <f>0.406+11.138+0.203+1.022+4.126+1.947+1.742+6.279+30.892+7.354+1.488+11.024+5.469+1.809+0.203+1.604+7.571+6.771+8.16+9.857+42.42+2.349+2.535+9.619+0.664+0.594+3.172+3.096+6.012+4.882+0.997</f>
        <v>195.40499999999997</v>
      </c>
      <c r="K81" s="1329">
        <f>L81+M81</f>
        <v>21.925000000000001</v>
      </c>
      <c r="L81" s="688">
        <f>12.851+5.128+0.439+3.507</f>
        <v>21.925000000000001</v>
      </c>
      <c r="M81" s="688"/>
      <c r="N81" s="714">
        <f t="shared" si="20"/>
        <v>0</v>
      </c>
      <c r="O81" s="787"/>
      <c r="P81" s="698">
        <f t="shared" si="21"/>
        <v>0</v>
      </c>
      <c r="Q81" s="698"/>
      <c r="R81" s="698">
        <f t="shared" si="22"/>
        <v>0</v>
      </c>
      <c r="S81" s="698"/>
      <c r="T81" s="698"/>
      <c r="U81" s="698">
        <f t="shared" si="23"/>
        <v>0</v>
      </c>
      <c r="V81" s="698"/>
      <c r="W81" s="698">
        <f t="shared" si="24"/>
        <v>0</v>
      </c>
      <c r="X81" s="698"/>
    </row>
    <row r="82" spans="1:24" ht="15.75" thickBot="1">
      <c r="A82" s="785" t="s">
        <v>92</v>
      </c>
      <c r="B82" s="786" t="s">
        <v>93</v>
      </c>
      <c r="C82" s="1341" t="s">
        <v>51</v>
      </c>
      <c r="D82" s="1317">
        <f t="shared" si="19"/>
        <v>9.5850000000000005E-2</v>
      </c>
      <c r="E82" s="1317">
        <f t="shared" si="25"/>
        <v>0</v>
      </c>
      <c r="F82" s="699"/>
      <c r="G82" s="699"/>
      <c r="H82" s="1324">
        <f t="shared" si="17"/>
        <v>9.5850000000000005E-2</v>
      </c>
      <c r="I82" s="688">
        <f>0.0025+0.006+0.0055+0.011+0.001+0.006+0.004+0.002+0.0003+0.011+0.00925+0.0003+0.024+0.012+0.001</f>
        <v>9.5850000000000005E-2</v>
      </c>
      <c r="J82" s="688"/>
      <c r="K82" s="1329">
        <f>L82</f>
        <v>0</v>
      </c>
      <c r="L82" s="688">
        <v>0</v>
      </c>
      <c r="M82" s="688"/>
      <c r="N82" s="714">
        <f t="shared" si="20"/>
        <v>0</v>
      </c>
      <c r="O82" s="787"/>
      <c r="P82" s="698">
        <f t="shared" si="21"/>
        <v>0</v>
      </c>
      <c r="Q82" s="698"/>
      <c r="R82" s="698">
        <f t="shared" si="22"/>
        <v>0</v>
      </c>
      <c r="S82" s="698"/>
      <c r="T82" s="698"/>
      <c r="U82" s="698">
        <f t="shared" si="23"/>
        <v>0</v>
      </c>
      <c r="V82" s="698"/>
      <c r="W82" s="698">
        <f t="shared" si="24"/>
        <v>0</v>
      </c>
      <c r="X82" s="698"/>
    </row>
    <row r="83" spans="1:24" ht="15.75" thickBot="1">
      <c r="A83" s="717"/>
      <c r="B83" s="790"/>
      <c r="C83" s="839" t="s">
        <v>21</v>
      </c>
      <c r="D83" s="1317">
        <f t="shared" si="19"/>
        <v>222.32399999999998</v>
      </c>
      <c r="E83" s="1317">
        <f t="shared" si="25"/>
        <v>0</v>
      </c>
      <c r="F83" s="699"/>
      <c r="G83" s="699"/>
      <c r="H83" s="1324">
        <f t="shared" si="17"/>
        <v>222.32399999999998</v>
      </c>
      <c r="I83" s="688">
        <f>4.175+52.262+8.386+16.834+1.737+9.232+6.228+3.164+1.051+17.078+15.111+2.346+53.918+29.161+1.641</f>
        <v>222.32399999999998</v>
      </c>
      <c r="J83" s="688"/>
      <c r="K83" s="1329">
        <f>L83</f>
        <v>0</v>
      </c>
      <c r="L83" s="688">
        <v>0</v>
      </c>
      <c r="M83" s="688"/>
      <c r="N83" s="714">
        <f t="shared" si="20"/>
        <v>0</v>
      </c>
      <c r="O83" s="719"/>
      <c r="P83" s="698">
        <f t="shared" si="21"/>
        <v>0</v>
      </c>
      <c r="Q83" s="726"/>
      <c r="R83" s="698">
        <f t="shared" si="22"/>
        <v>0</v>
      </c>
      <c r="S83" s="726"/>
      <c r="T83" s="726"/>
      <c r="U83" s="698">
        <f t="shared" si="23"/>
        <v>0</v>
      </c>
      <c r="V83" s="726"/>
      <c r="W83" s="698">
        <f t="shared" si="24"/>
        <v>0</v>
      </c>
      <c r="X83" s="726"/>
    </row>
    <row r="84" spans="1:24" ht="15.75" thickBot="1">
      <c r="A84" s="711">
        <v>19</v>
      </c>
      <c r="B84" s="792" t="s">
        <v>94</v>
      </c>
      <c r="C84" s="801" t="s">
        <v>47</v>
      </c>
      <c r="D84" s="1317">
        <f t="shared" si="19"/>
        <v>5</v>
      </c>
      <c r="E84" s="1317">
        <f t="shared" si="25"/>
        <v>0</v>
      </c>
      <c r="F84" s="699"/>
      <c r="G84" s="699"/>
      <c r="H84" s="1324">
        <f t="shared" si="17"/>
        <v>5</v>
      </c>
      <c r="I84" s="688">
        <f>1+1+1+2</f>
        <v>5</v>
      </c>
      <c r="J84" s="688"/>
      <c r="K84" s="1329"/>
      <c r="L84" s="688"/>
      <c r="M84" s="688"/>
      <c r="N84" s="714">
        <f t="shared" si="20"/>
        <v>0</v>
      </c>
      <c r="O84" s="736"/>
      <c r="P84" s="698">
        <f t="shared" si="21"/>
        <v>0</v>
      </c>
      <c r="Q84" s="722"/>
      <c r="R84" s="698">
        <f t="shared" si="22"/>
        <v>0</v>
      </c>
      <c r="S84" s="722"/>
      <c r="T84" s="722"/>
      <c r="U84" s="698">
        <f t="shared" si="23"/>
        <v>0</v>
      </c>
      <c r="V84" s="722"/>
      <c r="W84" s="698">
        <f t="shared" si="24"/>
        <v>0</v>
      </c>
      <c r="X84" s="722"/>
    </row>
    <row r="85" spans="1:24" ht="15.75" thickBot="1">
      <c r="A85" s="717"/>
      <c r="B85" s="790"/>
      <c r="C85" s="804" t="s">
        <v>21</v>
      </c>
      <c r="D85" s="1317">
        <f t="shared" si="19"/>
        <v>25.766999999999999</v>
      </c>
      <c r="E85" s="1317">
        <f t="shared" si="25"/>
        <v>0</v>
      </c>
      <c r="F85" s="699"/>
      <c r="G85" s="699"/>
      <c r="H85" s="1324">
        <f t="shared" si="17"/>
        <v>25.766999999999999</v>
      </c>
      <c r="I85" s="688">
        <f>4.478+5.213+6.196+9.88</f>
        <v>25.766999999999999</v>
      </c>
      <c r="J85" s="688"/>
      <c r="K85" s="1329"/>
      <c r="L85" s="688"/>
      <c r="M85" s="688"/>
      <c r="N85" s="714">
        <f t="shared" si="20"/>
        <v>0</v>
      </c>
      <c r="O85" s="719"/>
      <c r="P85" s="698">
        <f t="shared" si="21"/>
        <v>0</v>
      </c>
      <c r="Q85" s="720"/>
      <c r="R85" s="698">
        <f t="shared" si="22"/>
        <v>0</v>
      </c>
      <c r="S85" s="720"/>
      <c r="T85" s="720"/>
      <c r="U85" s="698">
        <f t="shared" si="23"/>
        <v>0</v>
      </c>
      <c r="V85" s="720"/>
      <c r="W85" s="698">
        <f t="shared" si="24"/>
        <v>0</v>
      </c>
      <c r="X85" s="720"/>
    </row>
    <row r="86" spans="1:24" ht="15.75" thickBot="1">
      <c r="A86" s="795" t="s">
        <v>95</v>
      </c>
      <c r="B86" s="792" t="s">
        <v>197</v>
      </c>
      <c r="C86" s="801" t="s">
        <v>47</v>
      </c>
      <c r="D86" s="1317">
        <f>H86+K86</f>
        <v>47</v>
      </c>
      <c r="E86" s="1317">
        <f t="shared" si="25"/>
        <v>0</v>
      </c>
      <c r="F86" s="699"/>
      <c r="G86" s="699"/>
      <c r="H86" s="1324">
        <f t="shared" ref="H86:H94" si="26">I86</f>
        <v>42</v>
      </c>
      <c r="I86" s="800">
        <f>4+2+1+3+1+7+2+2+1+1+1+2+1+1+5+3+1+1+2+1</f>
        <v>42</v>
      </c>
      <c r="K86" s="1329">
        <f>L86+M86</f>
        <v>5</v>
      </c>
      <c r="L86" s="688">
        <f>1+1+3</f>
        <v>5</v>
      </c>
      <c r="M86" s="688"/>
      <c r="N86" s="714">
        <f t="shared" si="20"/>
        <v>0</v>
      </c>
      <c r="O86" s="736"/>
      <c r="P86" s="698">
        <f t="shared" si="21"/>
        <v>0</v>
      </c>
      <c r="Q86" s="722"/>
      <c r="R86" s="698">
        <f t="shared" si="22"/>
        <v>0</v>
      </c>
      <c r="S86" s="722"/>
      <c r="T86" s="722"/>
      <c r="U86" s="698">
        <f t="shared" si="23"/>
        <v>0</v>
      </c>
      <c r="V86" s="722"/>
      <c r="W86" s="698">
        <f t="shared" si="24"/>
        <v>0</v>
      </c>
      <c r="X86" s="722"/>
    </row>
    <row r="87" spans="1:24" ht="15.75" thickBot="1">
      <c r="A87" s="796"/>
      <c r="B87" s="797" t="s">
        <v>97</v>
      </c>
      <c r="C87" s="804" t="s">
        <v>21</v>
      </c>
      <c r="D87" s="1317">
        <f>H87+K87</f>
        <v>129.52700000000004</v>
      </c>
      <c r="E87" s="1317">
        <f t="shared" si="25"/>
        <v>0</v>
      </c>
      <c r="F87" s="699"/>
      <c r="G87" s="699"/>
      <c r="H87" s="1324">
        <f t="shared" si="26"/>
        <v>123.47900000000006</v>
      </c>
      <c r="I87" s="800">
        <f>33.442+1.568+30.809+0.638+41.005+1.278+1.278+0.858+0.805+0.638+1.136+0.638+1.154+2.765+2.05+0.683+0.683+1.368+0.683</f>
        <v>123.47900000000006</v>
      </c>
      <c r="K87" s="1329">
        <f>L87+M87</f>
        <v>6.048</v>
      </c>
      <c r="L87" s="688">
        <f>0.638+3.072+2.338</f>
        <v>6.048</v>
      </c>
      <c r="M87" s="688"/>
      <c r="N87" s="714">
        <f t="shared" si="20"/>
        <v>0</v>
      </c>
      <c r="O87" s="719"/>
      <c r="P87" s="698">
        <f t="shared" si="21"/>
        <v>0</v>
      </c>
      <c r="Q87" s="720"/>
      <c r="R87" s="698">
        <f t="shared" si="22"/>
        <v>0</v>
      </c>
      <c r="S87" s="720"/>
      <c r="T87" s="720"/>
      <c r="U87" s="698">
        <f t="shared" si="23"/>
        <v>0</v>
      </c>
      <c r="V87" s="720"/>
      <c r="W87" s="698">
        <f t="shared" si="24"/>
        <v>0</v>
      </c>
      <c r="X87" s="720"/>
    </row>
    <row r="88" spans="1:24" ht="16.5" thickTop="1" thickBot="1">
      <c r="A88" s="1342" t="s">
        <v>98</v>
      </c>
      <c r="B88" s="1336" t="s">
        <v>99</v>
      </c>
      <c r="C88" s="1342" t="s">
        <v>21</v>
      </c>
      <c r="D88" s="1317">
        <f t="shared" ref="D88:D97" si="27">H88+K88</f>
        <v>81.564999999999998</v>
      </c>
      <c r="E88" s="1317">
        <f t="shared" si="25"/>
        <v>0</v>
      </c>
      <c r="F88" s="1338">
        <f t="shared" ref="F88:G88" si="28">F90+F92+F94</f>
        <v>0</v>
      </c>
      <c r="G88" s="1338">
        <f t="shared" si="28"/>
        <v>0</v>
      </c>
      <c r="H88" s="822">
        <f t="shared" si="26"/>
        <v>80.992999999999995</v>
      </c>
      <c r="I88" s="822">
        <f>I90+I92+I94</f>
        <v>80.992999999999995</v>
      </c>
      <c r="J88" s="822"/>
      <c r="K88" s="822">
        <f>L88</f>
        <v>0.57199999999999995</v>
      </c>
      <c r="L88" s="822">
        <f>L92</f>
        <v>0.57199999999999995</v>
      </c>
      <c r="M88" s="822"/>
      <c r="N88" s="1338">
        <f t="shared" ref="N88:X88" si="29">N90+N92+N94</f>
        <v>0</v>
      </c>
      <c r="O88" s="1338">
        <f t="shared" si="29"/>
        <v>0</v>
      </c>
      <c r="P88" s="1338">
        <f t="shared" si="29"/>
        <v>0</v>
      </c>
      <c r="Q88" s="1338">
        <f t="shared" si="29"/>
        <v>0</v>
      </c>
      <c r="R88" s="1338">
        <f t="shared" si="29"/>
        <v>0</v>
      </c>
      <c r="S88" s="1338">
        <f t="shared" si="29"/>
        <v>0</v>
      </c>
      <c r="T88" s="1338">
        <f t="shared" si="29"/>
        <v>0</v>
      </c>
      <c r="U88" s="1338">
        <f t="shared" si="29"/>
        <v>0</v>
      </c>
      <c r="V88" s="1338">
        <f t="shared" si="29"/>
        <v>0</v>
      </c>
      <c r="W88" s="1338">
        <f t="shared" si="29"/>
        <v>0</v>
      </c>
      <c r="X88" s="1338">
        <f t="shared" si="29"/>
        <v>0</v>
      </c>
    </row>
    <row r="89" spans="1:24" ht="16.5" thickTop="1" thickBot="1">
      <c r="A89" s="751">
        <v>20</v>
      </c>
      <c r="B89" s="752" t="s">
        <v>100</v>
      </c>
      <c r="C89" s="808" t="s">
        <v>51</v>
      </c>
      <c r="D89" s="1317">
        <f>H89+K89</f>
        <v>9.1000000000000011E-2</v>
      </c>
      <c r="E89" s="1317">
        <f t="shared" si="25"/>
        <v>0</v>
      </c>
      <c r="F89" s="699"/>
      <c r="G89" s="699"/>
      <c r="H89" s="800">
        <f t="shared" si="26"/>
        <v>9.1000000000000011E-2</v>
      </c>
      <c r="I89" s="800">
        <f>0.035+0.02+0.019+0.017</f>
        <v>9.1000000000000011E-2</v>
      </c>
      <c r="J89" s="800"/>
      <c r="K89" s="1317">
        <v>0</v>
      </c>
      <c r="L89" s="699">
        <v>0</v>
      </c>
      <c r="M89" s="699"/>
      <c r="N89" s="698">
        <f t="shared" ref="N89:N94" si="30">O89</f>
        <v>0</v>
      </c>
      <c r="O89" s="801"/>
      <c r="P89" s="698">
        <f t="shared" ref="P89:P94" si="31">Q89</f>
        <v>0</v>
      </c>
      <c r="Q89" s="722"/>
      <c r="R89" s="698">
        <f t="shared" ref="R89:R94" si="32">S89+T89</f>
        <v>0</v>
      </c>
      <c r="S89" s="722"/>
      <c r="T89" s="722"/>
      <c r="U89" s="698">
        <f t="shared" ref="U89:U94" si="33">V89</f>
        <v>0</v>
      </c>
      <c r="V89" s="722"/>
      <c r="W89" s="698">
        <f t="shared" ref="W89:W94" si="34">X89</f>
        <v>0</v>
      </c>
      <c r="X89" s="722"/>
    </row>
    <row r="90" spans="1:24" ht="15.75" thickBot="1">
      <c r="A90" s="802"/>
      <c r="B90" s="803" t="s">
        <v>101</v>
      </c>
      <c r="C90" s="790" t="s">
        <v>21</v>
      </c>
      <c r="D90" s="1317">
        <f>H90+K90</f>
        <v>17.381</v>
      </c>
      <c r="E90" s="1317">
        <f t="shared" si="25"/>
        <v>0</v>
      </c>
      <c r="F90" s="699"/>
      <c r="G90" s="699"/>
      <c r="H90" s="800">
        <f t="shared" si="26"/>
        <v>17.381</v>
      </c>
      <c r="I90" s="800">
        <f>3.473+1.861+9.341+2.706</f>
        <v>17.381</v>
      </c>
      <c r="J90" s="800"/>
      <c r="K90" s="1317">
        <v>0</v>
      </c>
      <c r="L90" s="699">
        <v>0</v>
      </c>
      <c r="M90" s="699"/>
      <c r="N90" s="698">
        <f t="shared" si="30"/>
        <v>0</v>
      </c>
      <c r="O90" s="804"/>
      <c r="P90" s="698">
        <f t="shared" si="31"/>
        <v>0</v>
      </c>
      <c r="Q90" s="720"/>
      <c r="R90" s="698">
        <f t="shared" si="32"/>
        <v>0</v>
      </c>
      <c r="S90" s="720"/>
      <c r="T90" s="720"/>
      <c r="U90" s="698">
        <f t="shared" si="33"/>
        <v>0</v>
      </c>
      <c r="V90" s="720"/>
      <c r="W90" s="698">
        <f t="shared" si="34"/>
        <v>0</v>
      </c>
      <c r="X90" s="720"/>
    </row>
    <row r="91" spans="1:24" ht="15.75" thickBot="1">
      <c r="A91" s="707">
        <v>21</v>
      </c>
      <c r="B91" s="708" t="s">
        <v>102</v>
      </c>
      <c r="C91" s="832" t="s">
        <v>47</v>
      </c>
      <c r="D91" s="1317">
        <f t="shared" si="27"/>
        <v>42</v>
      </c>
      <c r="E91" s="1317">
        <f t="shared" si="25"/>
        <v>0</v>
      </c>
      <c r="F91" s="699"/>
      <c r="G91" s="699"/>
      <c r="H91" s="800">
        <f t="shared" si="26"/>
        <v>41</v>
      </c>
      <c r="I91" s="1352">
        <f>1+7+1+3+2+1+2+2+1+1+3+3+1+1+8+1+3</f>
        <v>41</v>
      </c>
      <c r="J91" s="631"/>
      <c r="K91" s="699">
        <f>L91</f>
        <v>1</v>
      </c>
      <c r="L91" s="699">
        <v>1</v>
      </c>
      <c r="M91" s="699"/>
      <c r="N91" s="698">
        <f t="shared" si="30"/>
        <v>0</v>
      </c>
      <c r="O91" s="805"/>
      <c r="P91" s="698">
        <f t="shared" si="31"/>
        <v>0</v>
      </c>
      <c r="Q91" s="694"/>
      <c r="R91" s="698">
        <f t="shared" si="32"/>
        <v>0</v>
      </c>
      <c r="S91" s="694"/>
      <c r="T91" s="694"/>
      <c r="U91" s="698">
        <f t="shared" si="33"/>
        <v>0</v>
      </c>
      <c r="V91" s="694"/>
      <c r="W91" s="698">
        <f t="shared" si="34"/>
        <v>0</v>
      </c>
      <c r="X91" s="694"/>
    </row>
    <row r="92" spans="1:24" ht="15.75" thickBot="1">
      <c r="A92" s="806"/>
      <c r="B92" s="739" t="s">
        <v>103</v>
      </c>
      <c r="C92" s="1334" t="s">
        <v>21</v>
      </c>
      <c r="D92" s="1317">
        <f>H92+K92</f>
        <v>60.228999999999999</v>
      </c>
      <c r="E92" s="1317">
        <f t="shared" si="25"/>
        <v>0</v>
      </c>
      <c r="F92" s="699"/>
      <c r="G92" s="699"/>
      <c r="H92" s="800">
        <f t="shared" si="26"/>
        <v>59.656999999999996</v>
      </c>
      <c r="I92" s="1352">
        <f>0.837+1.928+0.837+2.061+2.249+3.852+1.343+1.184+0.657+2.436+3.712+3.712+0.837+2.977+23.848+2.952+4.235</f>
        <v>59.656999999999996</v>
      </c>
      <c r="J92" s="800"/>
      <c r="K92" s="699">
        <f>L92</f>
        <v>0.57199999999999995</v>
      </c>
      <c r="L92" s="699">
        <f>0.572</f>
        <v>0.57199999999999995</v>
      </c>
      <c r="M92" s="699"/>
      <c r="N92" s="698">
        <f t="shared" si="30"/>
        <v>0</v>
      </c>
      <c r="O92" s="807"/>
      <c r="P92" s="698">
        <f t="shared" si="31"/>
        <v>0</v>
      </c>
      <c r="Q92" s="720"/>
      <c r="R92" s="698">
        <f t="shared" si="32"/>
        <v>0</v>
      </c>
      <c r="S92" s="720"/>
      <c r="T92" s="720"/>
      <c r="U92" s="698">
        <f t="shared" si="33"/>
        <v>0</v>
      </c>
      <c r="V92" s="720"/>
      <c r="W92" s="698">
        <f t="shared" si="34"/>
        <v>0</v>
      </c>
      <c r="X92" s="720"/>
    </row>
    <row r="93" spans="1:24" ht="15.75" thickBot="1">
      <c r="A93" s="808" t="s">
        <v>104</v>
      </c>
      <c r="B93" s="752" t="s">
        <v>105</v>
      </c>
      <c r="C93" s="808" t="s">
        <v>47</v>
      </c>
      <c r="D93" s="1317">
        <f t="shared" si="27"/>
        <v>1</v>
      </c>
      <c r="E93" s="1317">
        <f t="shared" si="25"/>
        <v>0</v>
      </c>
      <c r="F93" s="699"/>
      <c r="G93" s="699"/>
      <c r="H93" s="800">
        <f t="shared" si="26"/>
        <v>1</v>
      </c>
      <c r="I93" s="800">
        <f>1</f>
        <v>1</v>
      </c>
      <c r="J93" s="800"/>
      <c r="K93" s="1317">
        <v>0</v>
      </c>
      <c r="L93" s="699">
        <v>0</v>
      </c>
      <c r="M93" s="699"/>
      <c r="N93" s="698">
        <f t="shared" si="30"/>
        <v>0</v>
      </c>
      <c r="O93" s="721"/>
      <c r="P93" s="698">
        <f t="shared" si="31"/>
        <v>0</v>
      </c>
      <c r="Q93" s="722"/>
      <c r="R93" s="698">
        <f t="shared" si="32"/>
        <v>0</v>
      </c>
      <c r="S93" s="722"/>
      <c r="T93" s="722"/>
      <c r="U93" s="698">
        <f t="shared" si="33"/>
        <v>0</v>
      </c>
      <c r="V93" s="722"/>
      <c r="W93" s="698">
        <f t="shared" si="34"/>
        <v>0</v>
      </c>
      <c r="X93" s="722"/>
    </row>
    <row r="94" spans="1:24" ht="15.75" thickBot="1">
      <c r="A94" s="809"/>
      <c r="B94" s="810"/>
      <c r="C94" s="809" t="s">
        <v>21</v>
      </c>
      <c r="D94" s="1317">
        <f t="shared" si="27"/>
        <v>3.9550000000000001</v>
      </c>
      <c r="E94" s="1317">
        <f t="shared" si="25"/>
        <v>0</v>
      </c>
      <c r="F94" s="699"/>
      <c r="G94" s="699"/>
      <c r="H94" s="800">
        <f t="shared" si="26"/>
        <v>3.9550000000000001</v>
      </c>
      <c r="I94" s="800">
        <f>3.955</f>
        <v>3.9550000000000001</v>
      </c>
      <c r="J94" s="800"/>
      <c r="K94" s="1317">
        <v>0</v>
      </c>
      <c r="L94" s="699">
        <v>0</v>
      </c>
      <c r="M94" s="699"/>
      <c r="N94" s="698">
        <f t="shared" si="30"/>
        <v>0</v>
      </c>
      <c r="O94" s="715"/>
      <c r="P94" s="698">
        <f t="shared" si="31"/>
        <v>0</v>
      </c>
      <c r="Q94" s="720"/>
      <c r="R94" s="698">
        <f t="shared" si="32"/>
        <v>0</v>
      </c>
      <c r="S94" s="720"/>
      <c r="T94" s="720"/>
      <c r="U94" s="698">
        <f t="shared" si="33"/>
        <v>0</v>
      </c>
      <c r="V94" s="720"/>
      <c r="W94" s="698">
        <f t="shared" si="34"/>
        <v>0</v>
      </c>
      <c r="X94" s="720"/>
    </row>
    <row r="95" spans="1:24" ht="39" customHeight="1" thickTop="1" thickBot="1">
      <c r="A95" s="1343" t="s">
        <v>106</v>
      </c>
      <c r="B95" s="1344" t="s">
        <v>107</v>
      </c>
      <c r="C95" s="1343" t="s">
        <v>21</v>
      </c>
      <c r="D95" s="1317">
        <f>D98</f>
        <v>122.69200000000002</v>
      </c>
      <c r="E95" s="1317">
        <f t="shared" si="25"/>
        <v>0</v>
      </c>
      <c r="F95" s="1345">
        <f t="shared" ref="F95:X95" si="35">F96+F97</f>
        <v>0</v>
      </c>
      <c r="G95" s="1345">
        <f t="shared" si="35"/>
        <v>0</v>
      </c>
      <c r="H95" s="1345">
        <f>H98</f>
        <v>101.96800000000002</v>
      </c>
      <c r="I95" s="1345">
        <f>I98</f>
        <v>101.96800000000002</v>
      </c>
      <c r="J95" s="1345"/>
      <c r="K95" s="1345">
        <f>K96+K97+K98</f>
        <v>20.724</v>
      </c>
      <c r="L95" s="1345">
        <f>L98</f>
        <v>20.724</v>
      </c>
      <c r="M95" s="1345"/>
      <c r="N95" s="1345">
        <f t="shared" si="35"/>
        <v>0</v>
      </c>
      <c r="O95" s="1345">
        <f t="shared" si="35"/>
        <v>0</v>
      </c>
      <c r="P95" s="1345">
        <f t="shared" si="35"/>
        <v>0</v>
      </c>
      <c r="Q95" s="1345">
        <f t="shared" si="35"/>
        <v>0</v>
      </c>
      <c r="R95" s="1345">
        <f t="shared" si="35"/>
        <v>0</v>
      </c>
      <c r="S95" s="1345">
        <f t="shared" si="35"/>
        <v>0</v>
      </c>
      <c r="T95" s="1345">
        <f t="shared" si="35"/>
        <v>0</v>
      </c>
      <c r="U95" s="1345">
        <f t="shared" si="35"/>
        <v>0</v>
      </c>
      <c r="V95" s="1345">
        <f t="shared" si="35"/>
        <v>0</v>
      </c>
      <c r="W95" s="1345">
        <f t="shared" si="35"/>
        <v>0</v>
      </c>
      <c r="X95" s="1345">
        <f t="shared" si="35"/>
        <v>0</v>
      </c>
    </row>
    <row r="96" spans="1:24" ht="16.5" thickTop="1" thickBot="1">
      <c r="A96" s="684" t="s">
        <v>108</v>
      </c>
      <c r="B96" s="814" t="s">
        <v>304</v>
      </c>
      <c r="C96" s="1346" t="s">
        <v>21</v>
      </c>
      <c r="D96" s="1317">
        <f t="shared" si="27"/>
        <v>0</v>
      </c>
      <c r="E96" s="1317">
        <f t="shared" si="25"/>
        <v>0</v>
      </c>
      <c r="F96" s="699"/>
      <c r="G96" s="699"/>
      <c r="H96" s="1317"/>
      <c r="I96" s="699"/>
      <c r="J96" s="699"/>
      <c r="K96" s="1317"/>
      <c r="L96" s="699"/>
      <c r="M96" s="699"/>
      <c r="N96" s="698">
        <f>O96</f>
        <v>0</v>
      </c>
      <c r="O96" s="721"/>
      <c r="P96" s="698">
        <f>Q96</f>
        <v>0</v>
      </c>
      <c r="Q96" s="686"/>
      <c r="R96" s="698">
        <f>S96+T96</f>
        <v>0</v>
      </c>
      <c r="S96" s="686"/>
      <c r="T96" s="686"/>
      <c r="U96" s="698">
        <f>V96</f>
        <v>0</v>
      </c>
      <c r="V96" s="686"/>
      <c r="W96" s="698">
        <f>X96</f>
        <v>0</v>
      </c>
      <c r="X96" s="686"/>
    </row>
    <row r="97" spans="1:24" ht="15.75" thickBot="1">
      <c r="A97" s="816" t="s">
        <v>109</v>
      </c>
      <c r="B97" s="814" t="s">
        <v>305</v>
      </c>
      <c r="C97" s="816" t="s">
        <v>21</v>
      </c>
      <c r="D97" s="1317">
        <f t="shared" si="27"/>
        <v>0</v>
      </c>
      <c r="E97" s="1317">
        <f t="shared" si="25"/>
        <v>0</v>
      </c>
      <c r="F97" s="699"/>
      <c r="G97" s="699"/>
      <c r="H97" s="1317"/>
      <c r="I97" s="699"/>
      <c r="J97" s="699"/>
      <c r="K97" s="1317"/>
      <c r="L97" s="699"/>
      <c r="M97" s="699"/>
      <c r="N97" s="698">
        <f>O97</f>
        <v>0</v>
      </c>
      <c r="O97" s="817"/>
      <c r="P97" s="698">
        <f>Q97</f>
        <v>0</v>
      </c>
      <c r="Q97" s="686"/>
      <c r="R97" s="698">
        <f>S97+T97</f>
        <v>0</v>
      </c>
      <c r="S97" s="686"/>
      <c r="T97" s="686"/>
      <c r="U97" s="698">
        <f>V97</f>
        <v>0</v>
      </c>
      <c r="V97" s="686"/>
      <c r="W97" s="698">
        <f>X97</f>
        <v>0</v>
      </c>
      <c r="X97" s="686"/>
    </row>
    <row r="98" spans="1:24" ht="15.75" thickBot="1">
      <c r="A98" s="816" t="s">
        <v>110</v>
      </c>
      <c r="B98" s="814" t="s">
        <v>111</v>
      </c>
      <c r="C98" s="816" t="s">
        <v>21</v>
      </c>
      <c r="D98" s="1317">
        <f>H98+K98</f>
        <v>122.69200000000002</v>
      </c>
      <c r="E98" s="1317">
        <f t="shared" si="25"/>
        <v>0</v>
      </c>
      <c r="F98" s="699"/>
      <c r="G98" s="699"/>
      <c r="H98" s="699">
        <f>I98</f>
        <v>101.96800000000002</v>
      </c>
      <c r="I98" s="699">
        <f>2.407+1.682+1.381+7.412+1.035+20.604+1.035+0.864+0.69+1.234+2.88+2.52+6.672+3.531+1.822+6.521+0.864+10.283+0.864+1.927+8.771+9.882+1.307+2.616+0.548+2.616</f>
        <v>101.96800000000002</v>
      </c>
      <c r="K98" s="699">
        <f>L98</f>
        <v>20.724</v>
      </c>
      <c r="L98" s="699">
        <f>20.724</f>
        <v>20.724</v>
      </c>
      <c r="M98" s="699"/>
      <c r="N98" s="698">
        <f>O98</f>
        <v>0</v>
      </c>
      <c r="O98" s="817"/>
      <c r="P98" s="698">
        <f>Q98</f>
        <v>0</v>
      </c>
      <c r="Q98" s="686"/>
      <c r="R98" s="698">
        <f>S98+T98</f>
        <v>0</v>
      </c>
      <c r="S98" s="686"/>
      <c r="T98" s="686"/>
      <c r="U98" s="698">
        <f>V98</f>
        <v>0</v>
      </c>
      <c r="V98" s="686"/>
      <c r="W98" s="698">
        <f>X98</f>
        <v>0</v>
      </c>
      <c r="X98" s="686"/>
    </row>
    <row r="99" spans="1:24" ht="15.75" thickBot="1">
      <c r="A99" s="818"/>
      <c r="B99" s="819" t="s">
        <v>112</v>
      </c>
      <c r="C99" s="1347" t="s">
        <v>21</v>
      </c>
      <c r="D99" s="1348">
        <f>D14+D73+D88+D95</f>
        <v>2076.2139999999999</v>
      </c>
      <c r="E99" s="1317">
        <f t="shared" si="25"/>
        <v>0</v>
      </c>
      <c r="F99" s="821">
        <f t="shared" ref="F99:X99" si="36">F98+F95+F88+F73+F14</f>
        <v>0</v>
      </c>
      <c r="G99" s="821">
        <f t="shared" si="36"/>
        <v>0</v>
      </c>
      <c r="H99" s="1348">
        <f>H95+H88+I73+I14</f>
        <v>1919.752</v>
      </c>
      <c r="I99" s="821">
        <f>I95+I88+I73+I14</f>
        <v>1919.752</v>
      </c>
      <c r="J99" s="821"/>
      <c r="K99" s="1348">
        <f>L99+M99</f>
        <v>156.46199999999999</v>
      </c>
      <c r="L99" s="821">
        <f>L95+L88+L73+L14</f>
        <v>156.46199999999999</v>
      </c>
      <c r="M99" s="821"/>
      <c r="N99" s="822">
        <f t="shared" si="36"/>
        <v>0</v>
      </c>
      <c r="O99" s="822">
        <f t="shared" si="36"/>
        <v>0</v>
      </c>
      <c r="P99" s="822">
        <f t="shared" si="36"/>
        <v>0</v>
      </c>
      <c r="Q99" s="822">
        <f t="shared" si="36"/>
        <v>0</v>
      </c>
      <c r="R99" s="822">
        <f t="shared" si="36"/>
        <v>0</v>
      </c>
      <c r="S99" s="822">
        <f t="shared" si="36"/>
        <v>0</v>
      </c>
      <c r="T99" s="822">
        <f t="shared" si="36"/>
        <v>0</v>
      </c>
      <c r="U99" s="822">
        <f t="shared" si="36"/>
        <v>0</v>
      </c>
      <c r="V99" s="822">
        <f t="shared" si="36"/>
        <v>0</v>
      </c>
      <c r="W99" s="822">
        <f t="shared" si="36"/>
        <v>0</v>
      </c>
      <c r="X99" s="822">
        <f t="shared" si="36"/>
        <v>0</v>
      </c>
    </row>
    <row r="100" spans="1:24" ht="12" customHeight="1" thickTop="1">
      <c r="A100" s="823"/>
      <c r="B100" s="824"/>
      <c r="C100" s="824"/>
      <c r="D100" s="824">
        <v>80648.726999999999</v>
      </c>
      <c r="E100" s="824">
        <f>80648.727-D99</f>
        <v>78572.513000000006</v>
      </c>
      <c r="F100" s="824"/>
      <c r="G100" s="824"/>
      <c r="H100" s="824"/>
      <c r="I100" s="824"/>
      <c r="J100" s="824"/>
      <c r="K100" s="824"/>
      <c r="L100" s="824"/>
      <c r="M100" s="824"/>
      <c r="N100" s="824"/>
      <c r="O100" s="824"/>
      <c r="P100" s="824"/>
      <c r="Q100" s="824"/>
      <c r="R100" s="824"/>
      <c r="S100" s="824"/>
      <c r="T100" s="824"/>
      <c r="U100" s="824"/>
      <c r="V100" s="824"/>
      <c r="W100" s="824"/>
      <c r="X100" s="824"/>
    </row>
    <row r="101" spans="1:24" hidden="1">
      <c r="A101" s="825"/>
      <c r="B101" s="825"/>
      <c r="C101" s="825"/>
      <c r="D101" s="1177">
        <f>I52</f>
        <v>34.06</v>
      </c>
      <c r="E101" s="825"/>
      <c r="F101" s="825"/>
      <c r="G101" s="825"/>
      <c r="H101" s="825"/>
      <c r="I101" s="825">
        <f>H98-I98</f>
        <v>0</v>
      </c>
      <c r="J101" s="825">
        <f>I98+E100</f>
        <v>78674.481</v>
      </c>
      <c r="K101" s="825"/>
      <c r="L101" s="825"/>
      <c r="M101" s="825">
        <f>9567.184-K99</f>
        <v>9410.7219999999998</v>
      </c>
      <c r="N101" s="825"/>
      <c r="O101" s="825"/>
      <c r="P101" s="825"/>
      <c r="Q101" s="825"/>
      <c r="R101" s="825"/>
      <c r="S101" s="825"/>
      <c r="T101" s="825"/>
      <c r="U101" s="825"/>
      <c r="V101" s="825"/>
      <c r="W101" s="825"/>
      <c r="X101" s="825"/>
    </row>
    <row r="102" spans="1:24" ht="15.75" thickBot="1">
      <c r="A102" s="1734" t="s">
        <v>113</v>
      </c>
      <c r="B102" s="1734"/>
      <c r="C102" s="1734"/>
      <c r="D102" s="1734"/>
      <c r="E102" s="1734"/>
      <c r="F102" s="1734"/>
      <c r="G102" s="1734"/>
      <c r="H102" s="1734"/>
      <c r="I102" s="1734"/>
      <c r="J102" s="1734"/>
      <c r="K102" s="1734"/>
      <c r="L102" s="1734"/>
      <c r="M102" s="1734"/>
      <c r="N102" s="1734"/>
      <c r="O102" s="1734"/>
      <c r="P102" s="1734"/>
      <c r="Q102" s="1734"/>
      <c r="R102" s="1734"/>
      <c r="S102" s="1734"/>
      <c r="T102" s="1734"/>
      <c r="U102" s="826"/>
      <c r="V102" s="826"/>
      <c r="W102" s="826"/>
      <c r="X102" s="826"/>
    </row>
    <row r="103" spans="1:24" ht="10.5" customHeight="1" thickBot="1">
      <c r="A103" s="808" t="s">
        <v>114</v>
      </c>
      <c r="B103" s="752" t="s">
        <v>115</v>
      </c>
      <c r="C103" s="808" t="s">
        <v>47</v>
      </c>
      <c r="D103" s="698">
        <f t="shared" ref="D103:D128" si="37">E103+H103+K103+N103+P103+R103+U103+W103</f>
        <v>0</v>
      </c>
      <c r="E103" s="698">
        <f t="shared" ref="E103:E128" si="38">F103+G103</f>
        <v>0</v>
      </c>
      <c r="F103" s="721"/>
      <c r="G103" s="721"/>
      <c r="H103" s="698">
        <f t="shared" ref="H103:H139" si="39">I103+J103</f>
        <v>0</v>
      </c>
      <c r="I103" s="721"/>
      <c r="J103" s="721"/>
      <c r="K103" s="698">
        <f t="shared" ref="K103:K139" si="40">L103+M103</f>
        <v>0</v>
      </c>
      <c r="L103" s="721"/>
      <c r="M103" s="721"/>
      <c r="N103" s="698">
        <f t="shared" ref="N103:N139" si="41">O103</f>
        <v>0</v>
      </c>
      <c r="O103" s="721"/>
      <c r="P103" s="698">
        <f t="shared" ref="P103:P139" si="42">Q103</f>
        <v>0</v>
      </c>
      <c r="Q103" s="801"/>
      <c r="R103" s="698">
        <f t="shared" ref="R103:R139" si="43">S103+T103</f>
        <v>0</v>
      </c>
      <c r="S103" s="735"/>
      <c r="T103" s="827"/>
      <c r="U103" s="698">
        <f t="shared" ref="U103:U139" si="44">V103</f>
        <v>0</v>
      </c>
      <c r="V103" s="735"/>
      <c r="W103" s="698">
        <f t="shared" ref="W103:W139" si="45">X103</f>
        <v>0</v>
      </c>
      <c r="X103" s="735"/>
    </row>
    <row r="104" spans="1:24" ht="10.5" customHeight="1" thickBot="1">
      <c r="A104" s="828"/>
      <c r="B104" s="754" t="s">
        <v>116</v>
      </c>
      <c r="C104" s="828" t="s">
        <v>21</v>
      </c>
      <c r="D104" s="698">
        <f t="shared" si="37"/>
        <v>0</v>
      </c>
      <c r="E104" s="698">
        <f t="shared" si="38"/>
        <v>0</v>
      </c>
      <c r="F104" s="721"/>
      <c r="G104" s="721"/>
      <c r="H104" s="698">
        <f t="shared" si="39"/>
        <v>0</v>
      </c>
      <c r="I104" s="721"/>
      <c r="J104" s="721"/>
      <c r="K104" s="698">
        <f t="shared" si="40"/>
        <v>0</v>
      </c>
      <c r="L104" s="721"/>
      <c r="M104" s="721"/>
      <c r="N104" s="698">
        <f t="shared" si="41"/>
        <v>0</v>
      </c>
      <c r="O104" s="715"/>
      <c r="P104" s="698">
        <f t="shared" si="42"/>
        <v>0</v>
      </c>
      <c r="Q104" s="829"/>
      <c r="R104" s="698">
        <f t="shared" si="43"/>
        <v>0</v>
      </c>
      <c r="S104" s="742"/>
      <c r="T104" s="830"/>
      <c r="U104" s="698">
        <f t="shared" si="44"/>
        <v>0</v>
      </c>
      <c r="V104" s="831"/>
      <c r="W104" s="698">
        <f t="shared" si="45"/>
        <v>0</v>
      </c>
      <c r="X104" s="831"/>
    </row>
    <row r="105" spans="1:24" ht="11.25" customHeight="1" thickBot="1">
      <c r="A105" s="808" t="s">
        <v>117</v>
      </c>
      <c r="B105" s="752" t="s">
        <v>118</v>
      </c>
      <c r="C105" s="808" t="s">
        <v>47</v>
      </c>
      <c r="D105" s="698">
        <f t="shared" si="37"/>
        <v>0</v>
      </c>
      <c r="E105" s="698">
        <f t="shared" si="38"/>
        <v>0</v>
      </c>
      <c r="F105" s="721"/>
      <c r="G105" s="721"/>
      <c r="H105" s="698">
        <f t="shared" si="39"/>
        <v>0</v>
      </c>
      <c r="I105" s="721"/>
      <c r="J105" s="721"/>
      <c r="K105" s="698">
        <f t="shared" si="40"/>
        <v>0</v>
      </c>
      <c r="L105" s="721"/>
      <c r="M105" s="721"/>
      <c r="N105" s="698">
        <f t="shared" si="41"/>
        <v>0</v>
      </c>
      <c r="O105" s="721"/>
      <c r="P105" s="698">
        <f t="shared" si="42"/>
        <v>0</v>
      </c>
      <c r="Q105" s="795"/>
      <c r="R105" s="698">
        <f t="shared" si="43"/>
        <v>0</v>
      </c>
      <c r="S105" s="782"/>
      <c r="T105" s="808"/>
      <c r="U105" s="698">
        <f t="shared" si="44"/>
        <v>0</v>
      </c>
      <c r="V105" s="722"/>
      <c r="W105" s="698">
        <f t="shared" si="45"/>
        <v>0</v>
      </c>
      <c r="X105" s="722"/>
    </row>
    <row r="106" spans="1:24" ht="10.5" customHeight="1" thickBot="1">
      <c r="A106" s="790"/>
      <c r="B106" s="804"/>
      <c r="C106" s="790" t="s">
        <v>21</v>
      </c>
      <c r="D106" s="698">
        <f t="shared" si="37"/>
        <v>0</v>
      </c>
      <c r="E106" s="698">
        <f t="shared" si="38"/>
        <v>0</v>
      </c>
      <c r="F106" s="721"/>
      <c r="G106" s="721"/>
      <c r="H106" s="698">
        <f t="shared" si="39"/>
        <v>0</v>
      </c>
      <c r="I106" s="721"/>
      <c r="J106" s="721"/>
      <c r="K106" s="698">
        <f t="shared" si="40"/>
        <v>0</v>
      </c>
      <c r="L106" s="721"/>
      <c r="M106" s="721"/>
      <c r="N106" s="698">
        <f t="shared" si="41"/>
        <v>0</v>
      </c>
      <c r="O106" s="719"/>
      <c r="P106" s="698">
        <f t="shared" si="42"/>
        <v>0</v>
      </c>
      <c r="Q106" s="717"/>
      <c r="R106" s="698">
        <f t="shared" si="43"/>
        <v>0</v>
      </c>
      <c r="S106" s="742"/>
      <c r="T106" s="790"/>
      <c r="U106" s="698">
        <f t="shared" si="44"/>
        <v>0</v>
      </c>
      <c r="V106" s="720"/>
      <c r="W106" s="698">
        <f t="shared" si="45"/>
        <v>0</v>
      </c>
      <c r="X106" s="720"/>
    </row>
    <row r="107" spans="1:24" ht="13.5" customHeight="1" thickBot="1">
      <c r="A107" s="808" t="s">
        <v>119</v>
      </c>
      <c r="B107" s="752" t="s">
        <v>120</v>
      </c>
      <c r="C107" s="808" t="s">
        <v>47</v>
      </c>
      <c r="D107" s="698">
        <f t="shared" si="37"/>
        <v>0</v>
      </c>
      <c r="E107" s="698">
        <f t="shared" si="38"/>
        <v>0</v>
      </c>
      <c r="F107" s="721"/>
      <c r="G107" s="721"/>
      <c r="H107" s="698">
        <f t="shared" si="39"/>
        <v>0</v>
      </c>
      <c r="I107" s="721"/>
      <c r="J107" s="721"/>
      <c r="K107" s="698">
        <f t="shared" si="40"/>
        <v>0</v>
      </c>
      <c r="L107" s="721"/>
      <c r="M107" s="721"/>
      <c r="N107" s="698">
        <f t="shared" si="41"/>
        <v>0</v>
      </c>
      <c r="O107" s="721"/>
      <c r="P107" s="698">
        <f t="shared" si="42"/>
        <v>0</v>
      </c>
      <c r="Q107" s="795"/>
      <c r="R107" s="698">
        <f t="shared" si="43"/>
        <v>0</v>
      </c>
      <c r="S107" s="735"/>
      <c r="T107" s="808"/>
      <c r="U107" s="698">
        <f t="shared" si="44"/>
        <v>0</v>
      </c>
      <c r="V107" s="722"/>
      <c r="W107" s="698">
        <f t="shared" si="45"/>
        <v>0</v>
      </c>
      <c r="X107" s="722"/>
    </row>
    <row r="108" spans="1:24" ht="11.25" customHeight="1" thickBot="1">
      <c r="A108" s="790"/>
      <c r="B108" s="804"/>
      <c r="C108" s="790" t="s">
        <v>21</v>
      </c>
      <c r="D108" s="698">
        <f t="shared" si="37"/>
        <v>0</v>
      </c>
      <c r="E108" s="698">
        <f t="shared" si="38"/>
        <v>0</v>
      </c>
      <c r="F108" s="721"/>
      <c r="G108" s="721"/>
      <c r="H108" s="698">
        <f t="shared" si="39"/>
        <v>0</v>
      </c>
      <c r="I108" s="721"/>
      <c r="J108" s="721"/>
      <c r="K108" s="698">
        <f t="shared" si="40"/>
        <v>0</v>
      </c>
      <c r="L108" s="721"/>
      <c r="M108" s="721"/>
      <c r="N108" s="698">
        <f t="shared" si="41"/>
        <v>0</v>
      </c>
      <c r="O108" s="719"/>
      <c r="P108" s="698">
        <f t="shared" si="42"/>
        <v>0</v>
      </c>
      <c r="Q108" s="717"/>
      <c r="R108" s="698">
        <f t="shared" si="43"/>
        <v>0</v>
      </c>
      <c r="S108" s="742"/>
      <c r="T108" s="790"/>
      <c r="U108" s="698">
        <f t="shared" si="44"/>
        <v>0</v>
      </c>
      <c r="V108" s="720"/>
      <c r="W108" s="698">
        <f t="shared" si="45"/>
        <v>0</v>
      </c>
      <c r="X108" s="720"/>
    </row>
    <row r="109" spans="1:24" ht="10.5" customHeight="1" thickBot="1">
      <c r="A109" s="832" t="s">
        <v>121</v>
      </c>
      <c r="B109" s="833" t="s">
        <v>122</v>
      </c>
      <c r="C109" s="832" t="s">
        <v>24</v>
      </c>
      <c r="D109" s="698">
        <f t="shared" si="37"/>
        <v>0</v>
      </c>
      <c r="E109" s="698">
        <f t="shared" si="38"/>
        <v>0</v>
      </c>
      <c r="F109" s="721"/>
      <c r="G109" s="721"/>
      <c r="H109" s="698">
        <f t="shared" si="39"/>
        <v>0</v>
      </c>
      <c r="I109" s="721"/>
      <c r="J109" s="721"/>
      <c r="K109" s="698">
        <f t="shared" si="40"/>
        <v>0</v>
      </c>
      <c r="L109" s="721"/>
      <c r="M109" s="721"/>
      <c r="N109" s="698">
        <f t="shared" si="41"/>
        <v>0</v>
      </c>
      <c r="O109" s="834"/>
      <c r="P109" s="698">
        <f t="shared" si="42"/>
        <v>0</v>
      </c>
      <c r="Q109" s="805"/>
      <c r="R109" s="698">
        <f t="shared" si="43"/>
        <v>0</v>
      </c>
      <c r="S109" s="782"/>
      <c r="T109" s="835"/>
      <c r="U109" s="698">
        <f t="shared" si="44"/>
        <v>0</v>
      </c>
      <c r="V109" s="782"/>
      <c r="W109" s="698">
        <f t="shared" si="45"/>
        <v>0</v>
      </c>
      <c r="X109" s="782"/>
    </row>
    <row r="110" spans="1:24" ht="12" customHeight="1" thickBot="1">
      <c r="A110" s="790"/>
      <c r="B110" s="803" t="s">
        <v>123</v>
      </c>
      <c r="C110" s="790" t="s">
        <v>21</v>
      </c>
      <c r="D110" s="698">
        <f t="shared" si="37"/>
        <v>0</v>
      </c>
      <c r="E110" s="698">
        <f t="shared" si="38"/>
        <v>0</v>
      </c>
      <c r="F110" s="721"/>
      <c r="G110" s="721"/>
      <c r="H110" s="698">
        <f t="shared" si="39"/>
        <v>0</v>
      </c>
      <c r="I110" s="721"/>
      <c r="J110" s="721"/>
      <c r="K110" s="698">
        <f t="shared" si="40"/>
        <v>0</v>
      </c>
      <c r="L110" s="721"/>
      <c r="M110" s="721"/>
      <c r="N110" s="698">
        <f t="shared" si="41"/>
        <v>0</v>
      </c>
      <c r="O110" s="836"/>
      <c r="P110" s="698">
        <f t="shared" si="42"/>
        <v>0</v>
      </c>
      <c r="Q110" s="807"/>
      <c r="R110" s="698">
        <f t="shared" si="43"/>
        <v>0</v>
      </c>
      <c r="S110" s="837"/>
      <c r="T110" s="838"/>
      <c r="U110" s="698">
        <f t="shared" si="44"/>
        <v>0</v>
      </c>
      <c r="V110" s="837"/>
      <c r="W110" s="698">
        <f t="shared" si="45"/>
        <v>0</v>
      </c>
      <c r="X110" s="837"/>
    </row>
    <row r="111" spans="1:24" ht="10.5" customHeight="1" thickBot="1">
      <c r="A111" s="832" t="s">
        <v>124</v>
      </c>
      <c r="B111" s="833" t="s">
        <v>125</v>
      </c>
      <c r="C111" s="832" t="s">
        <v>47</v>
      </c>
      <c r="D111" s="698">
        <f t="shared" si="37"/>
        <v>0</v>
      </c>
      <c r="E111" s="698">
        <f t="shared" si="38"/>
        <v>0</v>
      </c>
      <c r="F111" s="721"/>
      <c r="G111" s="721"/>
      <c r="H111" s="698">
        <f t="shared" si="39"/>
        <v>0</v>
      </c>
      <c r="I111" s="721"/>
      <c r="J111" s="721"/>
      <c r="K111" s="698">
        <f t="shared" si="40"/>
        <v>0</v>
      </c>
      <c r="L111" s="721"/>
      <c r="M111" s="721"/>
      <c r="N111" s="698">
        <f t="shared" si="41"/>
        <v>0</v>
      </c>
      <c r="O111" s="721"/>
      <c r="P111" s="698">
        <f t="shared" si="42"/>
        <v>0</v>
      </c>
      <c r="Q111" s="801"/>
      <c r="R111" s="698">
        <f t="shared" si="43"/>
        <v>0</v>
      </c>
      <c r="S111" s="735"/>
      <c r="T111" s="827"/>
      <c r="U111" s="698">
        <f t="shared" si="44"/>
        <v>0</v>
      </c>
      <c r="V111" s="735"/>
      <c r="W111" s="698">
        <f t="shared" si="45"/>
        <v>0</v>
      </c>
      <c r="X111" s="735"/>
    </row>
    <row r="112" spans="1:24" ht="10.5" customHeight="1" thickBot="1">
      <c r="A112" s="809"/>
      <c r="B112" s="810"/>
      <c r="C112" s="809" t="s">
        <v>21</v>
      </c>
      <c r="D112" s="698">
        <f t="shared" si="37"/>
        <v>0</v>
      </c>
      <c r="E112" s="698">
        <f t="shared" si="38"/>
        <v>0</v>
      </c>
      <c r="F112" s="721"/>
      <c r="G112" s="721"/>
      <c r="H112" s="698">
        <f t="shared" si="39"/>
        <v>0</v>
      </c>
      <c r="I112" s="721"/>
      <c r="J112" s="721"/>
      <c r="K112" s="698">
        <f t="shared" si="40"/>
        <v>0</v>
      </c>
      <c r="L112" s="721"/>
      <c r="M112" s="721"/>
      <c r="N112" s="698">
        <f t="shared" si="41"/>
        <v>0</v>
      </c>
      <c r="O112" s="836"/>
      <c r="P112" s="698">
        <f t="shared" si="42"/>
        <v>0</v>
      </c>
      <c r="Q112" s="807"/>
      <c r="R112" s="698">
        <f t="shared" si="43"/>
        <v>0</v>
      </c>
      <c r="S112" s="837"/>
      <c r="T112" s="838"/>
      <c r="U112" s="698">
        <f t="shared" si="44"/>
        <v>0</v>
      </c>
      <c r="V112" s="837"/>
      <c r="W112" s="698">
        <f t="shared" si="45"/>
        <v>0</v>
      </c>
      <c r="X112" s="837"/>
    </row>
    <row r="113" spans="1:24" ht="12" customHeight="1" thickBot="1">
      <c r="A113" s="808" t="s">
        <v>126</v>
      </c>
      <c r="B113" s="752" t="s">
        <v>127</v>
      </c>
      <c r="C113" s="808" t="s">
        <v>51</v>
      </c>
      <c r="D113" s="698">
        <f t="shared" si="37"/>
        <v>0</v>
      </c>
      <c r="E113" s="698">
        <f t="shared" si="38"/>
        <v>0</v>
      </c>
      <c r="F113" s="721"/>
      <c r="G113" s="721"/>
      <c r="H113" s="698">
        <f t="shared" si="39"/>
        <v>0</v>
      </c>
      <c r="I113" s="721"/>
      <c r="J113" s="721"/>
      <c r="K113" s="698">
        <f t="shared" si="40"/>
        <v>0</v>
      </c>
      <c r="L113" s="721"/>
      <c r="M113" s="721"/>
      <c r="N113" s="698">
        <f t="shared" si="41"/>
        <v>0</v>
      </c>
      <c r="O113" s="721"/>
      <c r="P113" s="698">
        <f t="shared" si="42"/>
        <v>0</v>
      </c>
      <c r="Q113" s="801"/>
      <c r="R113" s="698">
        <f t="shared" si="43"/>
        <v>0</v>
      </c>
      <c r="S113" s="735"/>
      <c r="T113" s="827"/>
      <c r="U113" s="698">
        <f t="shared" si="44"/>
        <v>0</v>
      </c>
      <c r="V113" s="735"/>
      <c r="W113" s="698">
        <f t="shared" si="45"/>
        <v>0</v>
      </c>
      <c r="X113" s="735"/>
    </row>
    <row r="114" spans="1:24" ht="12" customHeight="1" thickBot="1">
      <c r="A114" s="790"/>
      <c r="B114" s="803"/>
      <c r="C114" s="790" t="s">
        <v>128</v>
      </c>
      <c r="D114" s="698">
        <f t="shared" si="37"/>
        <v>0</v>
      </c>
      <c r="E114" s="698">
        <f t="shared" si="38"/>
        <v>0</v>
      </c>
      <c r="F114" s="721"/>
      <c r="G114" s="721"/>
      <c r="H114" s="698">
        <f t="shared" si="39"/>
        <v>0</v>
      </c>
      <c r="I114" s="721"/>
      <c r="J114" s="721"/>
      <c r="K114" s="698">
        <f t="shared" si="40"/>
        <v>0</v>
      </c>
      <c r="L114" s="721"/>
      <c r="M114" s="721"/>
      <c r="N114" s="698">
        <f t="shared" si="41"/>
        <v>0</v>
      </c>
      <c r="O114" s="719"/>
      <c r="P114" s="698">
        <f t="shared" si="42"/>
        <v>0</v>
      </c>
      <c r="Q114" s="804"/>
      <c r="R114" s="698">
        <f t="shared" si="43"/>
        <v>0</v>
      </c>
      <c r="S114" s="742"/>
      <c r="T114" s="839"/>
      <c r="U114" s="698">
        <f t="shared" si="44"/>
        <v>0</v>
      </c>
      <c r="V114" s="742"/>
      <c r="W114" s="698">
        <f t="shared" si="45"/>
        <v>0</v>
      </c>
      <c r="X114" s="742"/>
    </row>
    <row r="115" spans="1:24" ht="12.75" customHeight="1" thickBot="1">
      <c r="A115" s="840">
        <v>7</v>
      </c>
      <c r="B115" s="833" t="s">
        <v>129</v>
      </c>
      <c r="C115" s="832" t="s">
        <v>130</v>
      </c>
      <c r="D115" s="698">
        <f t="shared" si="37"/>
        <v>0</v>
      </c>
      <c r="E115" s="698">
        <f t="shared" si="38"/>
        <v>0</v>
      </c>
      <c r="F115" s="721"/>
      <c r="G115" s="721"/>
      <c r="H115" s="698">
        <f t="shared" si="39"/>
        <v>0</v>
      </c>
      <c r="I115" s="721"/>
      <c r="J115" s="721"/>
      <c r="K115" s="698">
        <f t="shared" si="40"/>
        <v>0</v>
      </c>
      <c r="L115" s="721"/>
      <c r="M115" s="721"/>
      <c r="N115" s="698">
        <f t="shared" si="41"/>
        <v>0</v>
      </c>
      <c r="O115" s="834"/>
      <c r="P115" s="698">
        <f t="shared" si="42"/>
        <v>0</v>
      </c>
      <c r="Q115" s="805"/>
      <c r="R115" s="698">
        <f t="shared" si="43"/>
        <v>0</v>
      </c>
      <c r="S115" s="782"/>
      <c r="T115" s="835"/>
      <c r="U115" s="698">
        <f t="shared" si="44"/>
        <v>0</v>
      </c>
      <c r="V115" s="782"/>
      <c r="W115" s="698">
        <f t="shared" si="45"/>
        <v>0</v>
      </c>
      <c r="X115" s="782"/>
    </row>
    <row r="116" spans="1:24" ht="12" customHeight="1" thickBot="1">
      <c r="A116" s="790"/>
      <c r="B116" s="804"/>
      <c r="C116" s="790" t="s">
        <v>21</v>
      </c>
      <c r="D116" s="698">
        <f t="shared" si="37"/>
        <v>0</v>
      </c>
      <c r="E116" s="698">
        <f t="shared" si="38"/>
        <v>0</v>
      </c>
      <c r="F116" s="721"/>
      <c r="G116" s="721"/>
      <c r="H116" s="698">
        <f t="shared" si="39"/>
        <v>0</v>
      </c>
      <c r="I116" s="721"/>
      <c r="J116" s="721"/>
      <c r="K116" s="698">
        <f t="shared" si="40"/>
        <v>0</v>
      </c>
      <c r="L116" s="721"/>
      <c r="M116" s="721"/>
      <c r="N116" s="698">
        <f t="shared" si="41"/>
        <v>0</v>
      </c>
      <c r="O116" s="836"/>
      <c r="P116" s="698">
        <f t="shared" si="42"/>
        <v>0</v>
      </c>
      <c r="Q116" s="807"/>
      <c r="R116" s="698">
        <f t="shared" si="43"/>
        <v>0</v>
      </c>
      <c r="S116" s="837"/>
      <c r="T116" s="838"/>
      <c r="U116" s="698">
        <f t="shared" si="44"/>
        <v>0</v>
      </c>
      <c r="V116" s="837"/>
      <c r="W116" s="698">
        <f t="shared" si="45"/>
        <v>0</v>
      </c>
      <c r="X116" s="837"/>
    </row>
    <row r="117" spans="1:24" ht="10.5" customHeight="1" thickBot="1">
      <c r="A117" s="841">
        <v>8</v>
      </c>
      <c r="B117" s="752" t="s">
        <v>131</v>
      </c>
      <c r="C117" s="808" t="s">
        <v>47</v>
      </c>
      <c r="D117" s="698">
        <f t="shared" si="37"/>
        <v>0</v>
      </c>
      <c r="E117" s="698">
        <f t="shared" si="38"/>
        <v>0</v>
      </c>
      <c r="F117" s="721"/>
      <c r="G117" s="721"/>
      <c r="H117" s="698">
        <f t="shared" si="39"/>
        <v>0</v>
      </c>
      <c r="I117" s="721"/>
      <c r="J117" s="721"/>
      <c r="K117" s="698">
        <f t="shared" si="40"/>
        <v>0</v>
      </c>
      <c r="L117" s="721"/>
      <c r="M117" s="721"/>
      <c r="N117" s="698">
        <f t="shared" si="41"/>
        <v>0</v>
      </c>
      <c r="O117" s="721"/>
      <c r="P117" s="698">
        <f t="shared" si="42"/>
        <v>0</v>
      </c>
      <c r="Q117" s="801"/>
      <c r="R117" s="698">
        <f t="shared" si="43"/>
        <v>0</v>
      </c>
      <c r="S117" s="735"/>
      <c r="T117" s="827"/>
      <c r="U117" s="698">
        <f t="shared" si="44"/>
        <v>0</v>
      </c>
      <c r="V117" s="735"/>
      <c r="W117" s="698">
        <f t="shared" si="45"/>
        <v>0</v>
      </c>
      <c r="X117" s="735"/>
    </row>
    <row r="118" spans="1:24" ht="10.5" customHeight="1" thickBot="1">
      <c r="A118" s="797"/>
      <c r="B118" s="803" t="s">
        <v>132</v>
      </c>
      <c r="C118" s="790" t="s">
        <v>21</v>
      </c>
      <c r="D118" s="698">
        <f t="shared" si="37"/>
        <v>0</v>
      </c>
      <c r="E118" s="698">
        <f t="shared" si="38"/>
        <v>0</v>
      </c>
      <c r="F118" s="721"/>
      <c r="G118" s="721"/>
      <c r="H118" s="698">
        <f t="shared" si="39"/>
        <v>0</v>
      </c>
      <c r="I118" s="721"/>
      <c r="J118" s="721"/>
      <c r="K118" s="698">
        <f t="shared" si="40"/>
        <v>0</v>
      </c>
      <c r="L118" s="721"/>
      <c r="M118" s="721"/>
      <c r="N118" s="698">
        <f t="shared" si="41"/>
        <v>0</v>
      </c>
      <c r="O118" s="836"/>
      <c r="P118" s="698">
        <f t="shared" si="42"/>
        <v>0</v>
      </c>
      <c r="Q118" s="807"/>
      <c r="R118" s="698">
        <f t="shared" si="43"/>
        <v>0</v>
      </c>
      <c r="S118" s="837"/>
      <c r="T118" s="838"/>
      <c r="U118" s="698">
        <f t="shared" si="44"/>
        <v>0</v>
      </c>
      <c r="V118" s="837"/>
      <c r="W118" s="698">
        <f t="shared" si="45"/>
        <v>0</v>
      </c>
      <c r="X118" s="837"/>
    </row>
    <row r="119" spans="1:24" ht="12" customHeight="1" thickBot="1">
      <c r="A119" s="841">
        <v>9</v>
      </c>
      <c r="B119" s="752" t="s">
        <v>133</v>
      </c>
      <c r="C119" s="808" t="s">
        <v>134</v>
      </c>
      <c r="D119" s="698">
        <f t="shared" si="37"/>
        <v>0</v>
      </c>
      <c r="E119" s="698">
        <f t="shared" si="38"/>
        <v>0</v>
      </c>
      <c r="F119" s="721"/>
      <c r="G119" s="721"/>
      <c r="H119" s="698">
        <f t="shared" si="39"/>
        <v>0</v>
      </c>
      <c r="I119" s="721"/>
      <c r="J119" s="721"/>
      <c r="K119" s="698">
        <f t="shared" si="40"/>
        <v>0</v>
      </c>
      <c r="L119" s="721"/>
      <c r="M119" s="721"/>
      <c r="N119" s="698">
        <f t="shared" si="41"/>
        <v>0</v>
      </c>
      <c r="O119" s="721"/>
      <c r="P119" s="698">
        <f t="shared" si="42"/>
        <v>0</v>
      </c>
      <c r="Q119" s="801"/>
      <c r="R119" s="698">
        <f t="shared" si="43"/>
        <v>0</v>
      </c>
      <c r="S119" s="735"/>
      <c r="T119" s="827"/>
      <c r="U119" s="698">
        <f t="shared" si="44"/>
        <v>0</v>
      </c>
      <c r="V119" s="735"/>
      <c r="W119" s="698">
        <f t="shared" si="45"/>
        <v>0</v>
      </c>
      <c r="X119" s="735"/>
    </row>
    <row r="120" spans="1:24" ht="12.75" customHeight="1" thickBot="1">
      <c r="A120" s="790"/>
      <c r="B120" s="803" t="s">
        <v>135</v>
      </c>
      <c r="C120" s="790" t="s">
        <v>21</v>
      </c>
      <c r="D120" s="698">
        <f t="shared" si="37"/>
        <v>0</v>
      </c>
      <c r="E120" s="698">
        <f t="shared" si="38"/>
        <v>0</v>
      </c>
      <c r="F120" s="721"/>
      <c r="G120" s="721"/>
      <c r="H120" s="698">
        <f t="shared" si="39"/>
        <v>0</v>
      </c>
      <c r="I120" s="721"/>
      <c r="J120" s="721"/>
      <c r="K120" s="698">
        <f t="shared" si="40"/>
        <v>0</v>
      </c>
      <c r="L120" s="721"/>
      <c r="M120" s="721"/>
      <c r="N120" s="698">
        <f t="shared" si="41"/>
        <v>0</v>
      </c>
      <c r="O120" s="836"/>
      <c r="P120" s="698">
        <f t="shared" si="42"/>
        <v>0</v>
      </c>
      <c r="Q120" s="807"/>
      <c r="R120" s="698">
        <f t="shared" si="43"/>
        <v>0</v>
      </c>
      <c r="S120" s="837"/>
      <c r="T120" s="838"/>
      <c r="U120" s="698">
        <f t="shared" si="44"/>
        <v>0</v>
      </c>
      <c r="V120" s="837"/>
      <c r="W120" s="698">
        <f t="shared" si="45"/>
        <v>0</v>
      </c>
      <c r="X120" s="837"/>
    </row>
    <row r="121" spans="1:24" ht="12.75" customHeight="1" thickBot="1">
      <c r="A121" s="808" t="s">
        <v>136</v>
      </c>
      <c r="B121" s="792" t="s">
        <v>137</v>
      </c>
      <c r="C121" s="801" t="s">
        <v>21</v>
      </c>
      <c r="D121" s="698">
        <f t="shared" si="37"/>
        <v>0</v>
      </c>
      <c r="E121" s="698">
        <f t="shared" si="38"/>
        <v>0</v>
      </c>
      <c r="F121" s="721"/>
      <c r="G121" s="721"/>
      <c r="H121" s="698">
        <f t="shared" si="39"/>
        <v>0</v>
      </c>
      <c r="I121" s="721">
        <v>0</v>
      </c>
      <c r="J121" s="721"/>
      <c r="K121" s="698">
        <f t="shared" si="40"/>
        <v>0</v>
      </c>
      <c r="L121" s="721"/>
      <c r="M121" s="721"/>
      <c r="N121" s="698">
        <f t="shared" si="41"/>
        <v>0</v>
      </c>
      <c r="O121" s="721"/>
      <c r="P121" s="698">
        <f t="shared" si="42"/>
        <v>0</v>
      </c>
      <c r="Q121" s="842"/>
      <c r="R121" s="698">
        <f t="shared" si="43"/>
        <v>0</v>
      </c>
      <c r="S121" s="735"/>
      <c r="T121" s="843"/>
      <c r="U121" s="698">
        <f t="shared" si="44"/>
        <v>0</v>
      </c>
      <c r="V121" s="722"/>
      <c r="W121" s="698">
        <f t="shared" si="45"/>
        <v>0</v>
      </c>
      <c r="X121" s="722"/>
    </row>
    <row r="122" spans="1:24" ht="10.5" customHeight="1" thickBot="1">
      <c r="A122" s="786" t="s">
        <v>138</v>
      </c>
      <c r="B122" s="783" t="s">
        <v>139</v>
      </c>
      <c r="C122" s="832" t="s">
        <v>21</v>
      </c>
      <c r="D122" s="698">
        <f t="shared" si="37"/>
        <v>0</v>
      </c>
      <c r="E122" s="698">
        <f t="shared" si="38"/>
        <v>0</v>
      </c>
      <c r="F122" s="721"/>
      <c r="G122" s="721"/>
      <c r="H122" s="698">
        <f t="shared" si="39"/>
        <v>0</v>
      </c>
      <c r="I122" s="721"/>
      <c r="J122" s="721"/>
      <c r="K122" s="698">
        <f t="shared" si="40"/>
        <v>0</v>
      </c>
      <c r="L122" s="721"/>
      <c r="M122" s="721"/>
      <c r="N122" s="698">
        <f t="shared" si="41"/>
        <v>0</v>
      </c>
      <c r="O122" s="834"/>
      <c r="P122" s="698">
        <f t="shared" si="42"/>
        <v>0</v>
      </c>
      <c r="Q122" s="844"/>
      <c r="R122" s="698">
        <f t="shared" si="43"/>
        <v>0</v>
      </c>
      <c r="S122" s="782"/>
      <c r="T122" s="834"/>
      <c r="U122" s="698">
        <f t="shared" si="44"/>
        <v>0</v>
      </c>
      <c r="V122" s="694"/>
      <c r="W122" s="698">
        <f t="shared" si="45"/>
        <v>0</v>
      </c>
      <c r="X122" s="694"/>
    </row>
    <row r="123" spans="1:24" ht="12" customHeight="1" thickBot="1">
      <c r="A123" s="845" t="s">
        <v>140</v>
      </c>
      <c r="B123" s="846" t="s">
        <v>141</v>
      </c>
      <c r="C123" s="845" t="s">
        <v>21</v>
      </c>
      <c r="D123" s="698">
        <f t="shared" si="37"/>
        <v>0</v>
      </c>
      <c r="E123" s="698">
        <f t="shared" si="38"/>
        <v>0</v>
      </c>
      <c r="F123" s="721"/>
      <c r="G123" s="721"/>
      <c r="H123" s="698">
        <f t="shared" si="39"/>
        <v>0</v>
      </c>
      <c r="I123" s="721"/>
      <c r="J123" s="721"/>
      <c r="K123" s="698">
        <f t="shared" si="40"/>
        <v>0</v>
      </c>
      <c r="L123" s="721"/>
      <c r="M123" s="721"/>
      <c r="N123" s="698">
        <f t="shared" si="41"/>
        <v>0</v>
      </c>
      <c r="O123" s="736"/>
      <c r="P123" s="698">
        <f t="shared" si="42"/>
        <v>0</v>
      </c>
      <c r="Q123" s="744"/>
      <c r="R123" s="698">
        <f t="shared" si="43"/>
        <v>0</v>
      </c>
      <c r="S123" s="760"/>
      <c r="T123" s="736"/>
      <c r="U123" s="698">
        <f t="shared" si="44"/>
        <v>0</v>
      </c>
      <c r="V123" s="737"/>
      <c r="W123" s="698">
        <f t="shared" si="45"/>
        <v>0</v>
      </c>
      <c r="X123" s="737"/>
    </row>
    <row r="124" spans="1:24" ht="12" customHeight="1" thickBot="1">
      <c r="A124" s="816" t="s">
        <v>142</v>
      </c>
      <c r="B124" s="847" t="s">
        <v>143</v>
      </c>
      <c r="C124" s="816" t="s">
        <v>21</v>
      </c>
      <c r="D124" s="698">
        <f t="shared" si="37"/>
        <v>0</v>
      </c>
      <c r="E124" s="698">
        <f t="shared" si="38"/>
        <v>0</v>
      </c>
      <c r="F124" s="721"/>
      <c r="G124" s="721"/>
      <c r="H124" s="698">
        <f t="shared" si="39"/>
        <v>0</v>
      </c>
      <c r="I124" s="721"/>
      <c r="J124" s="721"/>
      <c r="K124" s="698">
        <f t="shared" si="40"/>
        <v>0</v>
      </c>
      <c r="L124" s="721"/>
      <c r="M124" s="721"/>
      <c r="N124" s="698">
        <f t="shared" si="41"/>
        <v>0</v>
      </c>
      <c r="O124" s="817"/>
      <c r="P124" s="698">
        <f t="shared" si="42"/>
        <v>0</v>
      </c>
      <c r="Q124" s="848"/>
      <c r="R124" s="698">
        <f t="shared" si="43"/>
        <v>0</v>
      </c>
      <c r="S124" s="849"/>
      <c r="T124" s="817"/>
      <c r="U124" s="698">
        <f t="shared" si="44"/>
        <v>0</v>
      </c>
      <c r="V124" s="686"/>
      <c r="W124" s="698">
        <f t="shared" si="45"/>
        <v>0</v>
      </c>
      <c r="X124" s="686"/>
    </row>
    <row r="125" spans="1:24" ht="12" customHeight="1" thickBot="1">
      <c r="A125" s="731">
        <v>13</v>
      </c>
      <c r="B125" s="846" t="s">
        <v>144</v>
      </c>
      <c r="C125" s="845" t="s">
        <v>21</v>
      </c>
      <c r="D125" s="698">
        <f t="shared" si="37"/>
        <v>0</v>
      </c>
      <c r="E125" s="698">
        <f t="shared" si="38"/>
        <v>0</v>
      </c>
      <c r="F125" s="721"/>
      <c r="G125" s="721"/>
      <c r="H125" s="698">
        <f t="shared" si="39"/>
        <v>0</v>
      </c>
      <c r="I125" s="721"/>
      <c r="J125" s="721"/>
      <c r="K125" s="698">
        <f t="shared" si="40"/>
        <v>0</v>
      </c>
      <c r="L125" s="721"/>
      <c r="M125" s="721"/>
      <c r="N125" s="698">
        <f t="shared" si="41"/>
        <v>0</v>
      </c>
      <c r="O125" s="736"/>
      <c r="P125" s="698">
        <f t="shared" si="42"/>
        <v>0</v>
      </c>
      <c r="Q125" s="744"/>
      <c r="R125" s="698">
        <f t="shared" si="43"/>
        <v>0</v>
      </c>
      <c r="S125" s="760"/>
      <c r="T125" s="736"/>
      <c r="U125" s="698">
        <f t="shared" si="44"/>
        <v>0</v>
      </c>
      <c r="V125" s="737"/>
      <c r="W125" s="698">
        <f t="shared" si="45"/>
        <v>0</v>
      </c>
      <c r="X125" s="737"/>
    </row>
    <row r="126" spans="1:24" ht="11.25" customHeight="1" thickBot="1">
      <c r="A126" s="731">
        <v>14</v>
      </c>
      <c r="B126" s="850" t="s">
        <v>145</v>
      </c>
      <c r="C126" s="845" t="s">
        <v>21</v>
      </c>
      <c r="D126" s="698">
        <f t="shared" si="37"/>
        <v>0</v>
      </c>
      <c r="E126" s="698">
        <f t="shared" si="38"/>
        <v>0</v>
      </c>
      <c r="F126" s="721"/>
      <c r="G126" s="721"/>
      <c r="H126" s="698">
        <f t="shared" si="39"/>
        <v>0</v>
      </c>
      <c r="I126" s="721">
        <v>0</v>
      </c>
      <c r="J126" s="721"/>
      <c r="K126" s="698">
        <f t="shared" si="40"/>
        <v>0</v>
      </c>
      <c r="L126" s="721"/>
      <c r="M126" s="721"/>
      <c r="N126" s="698">
        <f t="shared" si="41"/>
        <v>0</v>
      </c>
      <c r="O126" s="736"/>
      <c r="P126" s="698">
        <f t="shared" si="42"/>
        <v>0</v>
      </c>
      <c r="Q126" s="744"/>
      <c r="R126" s="698">
        <f t="shared" si="43"/>
        <v>0</v>
      </c>
      <c r="S126" s="760"/>
      <c r="T126" s="736"/>
      <c r="U126" s="698">
        <f t="shared" si="44"/>
        <v>0</v>
      </c>
      <c r="V126" s="737"/>
      <c r="W126" s="698">
        <f t="shared" si="45"/>
        <v>0</v>
      </c>
      <c r="X126" s="737"/>
    </row>
    <row r="127" spans="1:24" ht="12.75" customHeight="1" thickBot="1">
      <c r="A127" s="816" t="s">
        <v>146</v>
      </c>
      <c r="B127" s="847" t="s">
        <v>147</v>
      </c>
      <c r="C127" s="816" t="s">
        <v>21</v>
      </c>
      <c r="D127" s="698">
        <f t="shared" si="37"/>
        <v>0</v>
      </c>
      <c r="E127" s="698">
        <f t="shared" si="38"/>
        <v>0</v>
      </c>
      <c r="F127" s="721"/>
      <c r="G127" s="721"/>
      <c r="H127" s="698">
        <f t="shared" si="39"/>
        <v>0</v>
      </c>
      <c r="I127" s="721">
        <v>0</v>
      </c>
      <c r="J127" s="721"/>
      <c r="K127" s="698">
        <f t="shared" si="40"/>
        <v>0</v>
      </c>
      <c r="L127" s="721"/>
      <c r="M127" s="721"/>
      <c r="N127" s="698">
        <f t="shared" si="41"/>
        <v>0</v>
      </c>
      <c r="O127" s="817"/>
      <c r="P127" s="698">
        <f t="shared" si="42"/>
        <v>0</v>
      </c>
      <c r="Q127" s="848"/>
      <c r="R127" s="698">
        <f t="shared" si="43"/>
        <v>0</v>
      </c>
      <c r="S127" s="849"/>
      <c r="T127" s="817"/>
      <c r="U127" s="698">
        <f t="shared" si="44"/>
        <v>0</v>
      </c>
      <c r="V127" s="686"/>
      <c r="W127" s="698">
        <f t="shared" si="45"/>
        <v>0</v>
      </c>
      <c r="X127" s="686"/>
    </row>
    <row r="128" spans="1:24" ht="12.75" customHeight="1">
      <c r="A128" s="841">
        <v>16</v>
      </c>
      <c r="B128" s="752" t="s">
        <v>148</v>
      </c>
      <c r="C128" s="808" t="s">
        <v>21</v>
      </c>
      <c r="D128" s="698">
        <f t="shared" si="37"/>
        <v>0</v>
      </c>
      <c r="E128" s="698">
        <f t="shared" si="38"/>
        <v>0</v>
      </c>
      <c r="F128" s="721"/>
      <c r="G128" s="721"/>
      <c r="H128" s="698">
        <f t="shared" si="39"/>
        <v>0</v>
      </c>
      <c r="I128" s="721">
        <v>0</v>
      </c>
      <c r="J128" s="721"/>
      <c r="K128" s="698">
        <f t="shared" si="40"/>
        <v>0</v>
      </c>
      <c r="L128" s="721"/>
      <c r="M128" s="721"/>
      <c r="N128" s="698">
        <f t="shared" si="41"/>
        <v>0</v>
      </c>
      <c r="O128" s="722"/>
      <c r="P128" s="698">
        <f t="shared" si="42"/>
        <v>0</v>
      </c>
      <c r="Q128" s="851"/>
      <c r="R128" s="698">
        <f t="shared" si="43"/>
        <v>0</v>
      </c>
      <c r="S128" s="735"/>
      <c r="T128" s="722"/>
      <c r="U128" s="698">
        <f t="shared" si="44"/>
        <v>0</v>
      </c>
      <c r="V128" s="722"/>
      <c r="W128" s="698">
        <f t="shared" si="45"/>
        <v>0</v>
      </c>
      <c r="X128" s="722"/>
    </row>
    <row r="129" spans="1:24" ht="13.5" customHeight="1" thickBot="1">
      <c r="A129" s="786" t="s">
        <v>149</v>
      </c>
      <c r="B129" s="852" t="s">
        <v>150</v>
      </c>
      <c r="C129" s="786" t="s">
        <v>128</v>
      </c>
      <c r="D129" s="698">
        <f>D131+D133+D135+D137</f>
        <v>0</v>
      </c>
      <c r="E129" s="698">
        <f>E131+E133+E135+E137</f>
        <v>0</v>
      </c>
      <c r="F129" s="698">
        <f>F131+F133+F135+F137</f>
        <v>0</v>
      </c>
      <c r="G129" s="698">
        <f>G131+G133+G135+G137</f>
        <v>0</v>
      </c>
      <c r="H129" s="698">
        <f t="shared" si="39"/>
        <v>0</v>
      </c>
      <c r="I129" s="698">
        <f>I131+I133+I135+I137</f>
        <v>0</v>
      </c>
      <c r="J129" s="698">
        <f>J131+J133+J135+J137</f>
        <v>0</v>
      </c>
      <c r="K129" s="698">
        <f t="shared" si="40"/>
        <v>0</v>
      </c>
      <c r="L129" s="698">
        <f>L131+L133+L135+L137</f>
        <v>0</v>
      </c>
      <c r="M129" s="698">
        <f>M131+M133+M135+M137</f>
        <v>0</v>
      </c>
      <c r="N129" s="698">
        <f t="shared" si="41"/>
        <v>0</v>
      </c>
      <c r="O129" s="698">
        <f>O131+O133+O135+O137</f>
        <v>0</v>
      </c>
      <c r="P129" s="698">
        <f t="shared" si="42"/>
        <v>0</v>
      </c>
      <c r="Q129" s="698">
        <f>Q131+Q133+Q135+Q137</f>
        <v>0</v>
      </c>
      <c r="R129" s="698">
        <f t="shared" si="43"/>
        <v>0</v>
      </c>
      <c r="S129" s="698">
        <f>S131+S133+S135+S137</f>
        <v>0</v>
      </c>
      <c r="T129" s="698">
        <f>T131+T133+T135+T137</f>
        <v>0</v>
      </c>
      <c r="U129" s="698">
        <f t="shared" si="44"/>
        <v>0</v>
      </c>
      <c r="V129" s="698">
        <f>V131+V133+V135+V137</f>
        <v>0</v>
      </c>
      <c r="W129" s="698">
        <f t="shared" si="45"/>
        <v>0</v>
      </c>
      <c r="X129" s="698">
        <f>X131+X133+X135+X137</f>
        <v>0</v>
      </c>
    </row>
    <row r="130" spans="1:24" ht="12.75" customHeight="1" thickBot="1">
      <c r="A130" s="786" t="s">
        <v>151</v>
      </c>
      <c r="B130" s="852" t="s">
        <v>152</v>
      </c>
      <c r="C130" s="786" t="s">
        <v>47</v>
      </c>
      <c r="D130" s="698">
        <f t="shared" ref="D130:D139" si="46">E130+H130+K130+N130+P130+R130+U130+W130</f>
        <v>0</v>
      </c>
      <c r="E130" s="698">
        <f t="shared" ref="E130:E139" si="47">F130+G130</f>
        <v>0</v>
      </c>
      <c r="F130" s="721"/>
      <c r="G130" s="721"/>
      <c r="H130" s="698">
        <f t="shared" si="39"/>
        <v>0</v>
      </c>
      <c r="I130" s="721"/>
      <c r="J130" s="721"/>
      <c r="K130" s="698">
        <f t="shared" si="40"/>
        <v>0</v>
      </c>
      <c r="L130" s="721"/>
      <c r="M130" s="721"/>
      <c r="N130" s="698">
        <f t="shared" si="41"/>
        <v>0</v>
      </c>
      <c r="O130" s="834"/>
      <c r="P130" s="698">
        <f t="shared" si="42"/>
        <v>0</v>
      </c>
      <c r="Q130" s="844"/>
      <c r="R130" s="698">
        <f t="shared" si="43"/>
        <v>0</v>
      </c>
      <c r="S130" s="782"/>
      <c r="T130" s="834"/>
      <c r="U130" s="698">
        <f t="shared" si="44"/>
        <v>0</v>
      </c>
      <c r="V130" s="694"/>
      <c r="W130" s="698">
        <f t="shared" si="45"/>
        <v>0</v>
      </c>
      <c r="X130" s="694"/>
    </row>
    <row r="131" spans="1:24" ht="12" customHeight="1" thickBot="1">
      <c r="A131" s="786"/>
      <c r="B131" s="852"/>
      <c r="C131" s="786" t="s">
        <v>21</v>
      </c>
      <c r="D131" s="698">
        <f t="shared" si="46"/>
        <v>0</v>
      </c>
      <c r="E131" s="698">
        <f t="shared" si="47"/>
        <v>0</v>
      </c>
      <c r="F131" s="721"/>
      <c r="G131" s="721"/>
      <c r="H131" s="698">
        <f t="shared" si="39"/>
        <v>0</v>
      </c>
      <c r="I131" s="721"/>
      <c r="J131" s="721"/>
      <c r="K131" s="698">
        <f t="shared" si="40"/>
        <v>0</v>
      </c>
      <c r="L131" s="721"/>
      <c r="M131" s="721"/>
      <c r="N131" s="698">
        <f t="shared" si="41"/>
        <v>0</v>
      </c>
      <c r="O131" s="787"/>
      <c r="P131" s="698">
        <f t="shared" si="42"/>
        <v>0</v>
      </c>
      <c r="Q131" s="853"/>
      <c r="R131" s="698">
        <f t="shared" si="43"/>
        <v>0</v>
      </c>
      <c r="S131" s="714"/>
      <c r="T131" s="787"/>
      <c r="U131" s="698">
        <f t="shared" si="44"/>
        <v>0</v>
      </c>
      <c r="V131" s="698"/>
      <c r="W131" s="698">
        <f t="shared" si="45"/>
        <v>0</v>
      </c>
      <c r="X131" s="698"/>
    </row>
    <row r="132" spans="1:24" ht="13.5" customHeight="1" thickBot="1">
      <c r="A132" s="786" t="s">
        <v>153</v>
      </c>
      <c r="B132" s="852" t="s">
        <v>154</v>
      </c>
      <c r="C132" s="786" t="s">
        <v>47</v>
      </c>
      <c r="D132" s="698">
        <f t="shared" si="46"/>
        <v>0</v>
      </c>
      <c r="E132" s="698">
        <f t="shared" si="47"/>
        <v>0</v>
      </c>
      <c r="F132" s="721"/>
      <c r="G132" s="721"/>
      <c r="H132" s="698">
        <f t="shared" si="39"/>
        <v>0</v>
      </c>
      <c r="I132" s="721"/>
      <c r="J132" s="721"/>
      <c r="K132" s="698">
        <f t="shared" si="40"/>
        <v>0</v>
      </c>
      <c r="L132" s="721"/>
      <c r="M132" s="721"/>
      <c r="N132" s="698">
        <f t="shared" si="41"/>
        <v>0</v>
      </c>
      <c r="O132" s="787"/>
      <c r="P132" s="698">
        <f t="shared" si="42"/>
        <v>0</v>
      </c>
      <c r="Q132" s="853"/>
      <c r="R132" s="698">
        <f t="shared" si="43"/>
        <v>0</v>
      </c>
      <c r="S132" s="714"/>
      <c r="T132" s="787"/>
      <c r="U132" s="698">
        <f t="shared" si="44"/>
        <v>0</v>
      </c>
      <c r="V132" s="698"/>
      <c r="W132" s="698">
        <f t="shared" si="45"/>
        <v>0</v>
      </c>
      <c r="X132" s="698"/>
    </row>
    <row r="133" spans="1:24" ht="10.5" customHeight="1" thickBot="1">
      <c r="A133" s="786"/>
      <c r="B133" s="852"/>
      <c r="C133" s="786" t="s">
        <v>155</v>
      </c>
      <c r="D133" s="698">
        <f t="shared" si="46"/>
        <v>0</v>
      </c>
      <c r="E133" s="698">
        <f t="shared" si="47"/>
        <v>0</v>
      </c>
      <c r="F133" s="721"/>
      <c r="G133" s="721"/>
      <c r="H133" s="698">
        <f t="shared" si="39"/>
        <v>0</v>
      </c>
      <c r="I133" s="721"/>
      <c r="J133" s="721"/>
      <c r="K133" s="698">
        <f t="shared" si="40"/>
        <v>0</v>
      </c>
      <c r="L133" s="721"/>
      <c r="M133" s="721"/>
      <c r="N133" s="698">
        <f t="shared" si="41"/>
        <v>0</v>
      </c>
      <c r="O133" s="787"/>
      <c r="P133" s="698">
        <f t="shared" si="42"/>
        <v>0</v>
      </c>
      <c r="Q133" s="853"/>
      <c r="R133" s="698">
        <f t="shared" si="43"/>
        <v>0</v>
      </c>
      <c r="S133" s="714"/>
      <c r="T133" s="787"/>
      <c r="U133" s="698">
        <f t="shared" si="44"/>
        <v>0</v>
      </c>
      <c r="V133" s="698"/>
      <c r="W133" s="698">
        <f t="shared" si="45"/>
        <v>0</v>
      </c>
      <c r="X133" s="698"/>
    </row>
    <row r="134" spans="1:24" ht="12.75" customHeight="1" thickBot="1">
      <c r="A134" s="786" t="s">
        <v>156</v>
      </c>
      <c r="B134" s="852" t="s">
        <v>157</v>
      </c>
      <c r="C134" s="786" t="s">
        <v>47</v>
      </c>
      <c r="D134" s="698">
        <f t="shared" si="46"/>
        <v>0</v>
      </c>
      <c r="E134" s="698">
        <f t="shared" si="47"/>
        <v>0</v>
      </c>
      <c r="F134" s="721"/>
      <c r="G134" s="721"/>
      <c r="H134" s="698">
        <f t="shared" si="39"/>
        <v>0</v>
      </c>
      <c r="I134" s="721"/>
      <c r="J134" s="721"/>
      <c r="K134" s="698">
        <f t="shared" si="40"/>
        <v>0</v>
      </c>
      <c r="L134" s="721"/>
      <c r="M134" s="721"/>
      <c r="N134" s="698">
        <f t="shared" si="41"/>
        <v>0</v>
      </c>
      <c r="O134" s="787"/>
      <c r="P134" s="698">
        <f t="shared" si="42"/>
        <v>0</v>
      </c>
      <c r="Q134" s="853"/>
      <c r="R134" s="698">
        <f t="shared" si="43"/>
        <v>0</v>
      </c>
      <c r="S134" s="714"/>
      <c r="T134" s="787"/>
      <c r="U134" s="698">
        <f t="shared" si="44"/>
        <v>0</v>
      </c>
      <c r="V134" s="698"/>
      <c r="W134" s="698">
        <f t="shared" si="45"/>
        <v>0</v>
      </c>
      <c r="X134" s="698"/>
    </row>
    <row r="135" spans="1:24" ht="12" customHeight="1" thickBot="1">
      <c r="A135" s="786"/>
      <c r="B135" s="786" t="s">
        <v>158</v>
      </c>
      <c r="C135" s="786" t="s">
        <v>21</v>
      </c>
      <c r="D135" s="698">
        <f t="shared" si="46"/>
        <v>0</v>
      </c>
      <c r="E135" s="698">
        <f t="shared" si="47"/>
        <v>0</v>
      </c>
      <c r="F135" s="721"/>
      <c r="G135" s="721"/>
      <c r="H135" s="698">
        <f t="shared" si="39"/>
        <v>0</v>
      </c>
      <c r="I135" s="721"/>
      <c r="J135" s="721"/>
      <c r="K135" s="698">
        <f t="shared" si="40"/>
        <v>0</v>
      </c>
      <c r="L135" s="721"/>
      <c r="M135" s="721"/>
      <c r="N135" s="698">
        <f t="shared" si="41"/>
        <v>0</v>
      </c>
      <c r="O135" s="787"/>
      <c r="P135" s="698">
        <f t="shared" si="42"/>
        <v>0</v>
      </c>
      <c r="Q135" s="853"/>
      <c r="R135" s="698">
        <f t="shared" si="43"/>
        <v>0</v>
      </c>
      <c r="S135" s="714"/>
      <c r="T135" s="787"/>
      <c r="U135" s="698">
        <f t="shared" si="44"/>
        <v>0</v>
      </c>
      <c r="V135" s="698"/>
      <c r="W135" s="698">
        <f t="shared" si="45"/>
        <v>0</v>
      </c>
      <c r="X135" s="698"/>
    </row>
    <row r="136" spans="1:24" ht="12" customHeight="1" thickBot="1">
      <c r="A136" s="786" t="s">
        <v>159</v>
      </c>
      <c r="B136" s="805" t="s">
        <v>160</v>
      </c>
      <c r="C136" s="786" t="s">
        <v>47</v>
      </c>
      <c r="D136" s="698">
        <f t="shared" si="46"/>
        <v>0</v>
      </c>
      <c r="E136" s="698">
        <f t="shared" si="47"/>
        <v>0</v>
      </c>
      <c r="F136" s="721"/>
      <c r="G136" s="721"/>
      <c r="H136" s="698">
        <f t="shared" si="39"/>
        <v>0</v>
      </c>
      <c r="I136" s="721"/>
      <c r="J136" s="721"/>
      <c r="K136" s="698">
        <f t="shared" si="40"/>
        <v>0</v>
      </c>
      <c r="L136" s="721"/>
      <c r="M136" s="721"/>
      <c r="N136" s="698">
        <f t="shared" si="41"/>
        <v>0</v>
      </c>
      <c r="O136" s="787"/>
      <c r="P136" s="698">
        <f t="shared" si="42"/>
        <v>0</v>
      </c>
      <c r="Q136" s="853"/>
      <c r="R136" s="698">
        <f t="shared" si="43"/>
        <v>0</v>
      </c>
      <c r="S136" s="714"/>
      <c r="T136" s="787"/>
      <c r="U136" s="698">
        <f t="shared" si="44"/>
        <v>0</v>
      </c>
      <c r="V136" s="698"/>
      <c r="W136" s="698">
        <f t="shared" si="45"/>
        <v>0</v>
      </c>
      <c r="X136" s="698"/>
    </row>
    <row r="137" spans="1:24" ht="12.75" customHeight="1" thickBot="1">
      <c r="A137" s="828"/>
      <c r="B137" s="854"/>
      <c r="C137" s="828" t="s">
        <v>21</v>
      </c>
      <c r="D137" s="726">
        <f t="shared" si="46"/>
        <v>0</v>
      </c>
      <c r="E137" s="726">
        <f t="shared" si="47"/>
        <v>0</v>
      </c>
      <c r="F137" s="736"/>
      <c r="G137" s="736"/>
      <c r="H137" s="726">
        <f t="shared" si="39"/>
        <v>0</v>
      </c>
      <c r="I137" s="736"/>
      <c r="J137" s="736"/>
      <c r="K137" s="698">
        <f t="shared" si="40"/>
        <v>0</v>
      </c>
      <c r="L137" s="721"/>
      <c r="M137" s="721"/>
      <c r="N137" s="698">
        <f t="shared" si="41"/>
        <v>0</v>
      </c>
      <c r="O137" s="730"/>
      <c r="P137" s="698">
        <f t="shared" si="42"/>
        <v>0</v>
      </c>
      <c r="Q137" s="855"/>
      <c r="R137" s="698">
        <f t="shared" si="43"/>
        <v>0</v>
      </c>
      <c r="S137" s="729"/>
      <c r="T137" s="730"/>
      <c r="U137" s="698">
        <f t="shared" si="44"/>
        <v>0</v>
      </c>
      <c r="V137" s="726"/>
      <c r="W137" s="698">
        <f t="shared" si="45"/>
        <v>0</v>
      </c>
      <c r="X137" s="726"/>
    </row>
    <row r="138" spans="1:24" ht="12.75" customHeight="1" thickBot="1">
      <c r="A138" s="856" t="s">
        <v>161</v>
      </c>
      <c r="B138" s="856" t="s">
        <v>162</v>
      </c>
      <c r="C138" s="856" t="s">
        <v>21</v>
      </c>
      <c r="D138" s="781">
        <f t="shared" si="46"/>
        <v>0</v>
      </c>
      <c r="E138" s="781">
        <f t="shared" si="47"/>
        <v>0</v>
      </c>
      <c r="F138" s="857"/>
      <c r="G138" s="857"/>
      <c r="H138" s="781">
        <f t="shared" si="39"/>
        <v>0</v>
      </c>
      <c r="I138" s="857"/>
      <c r="J138" s="857"/>
      <c r="K138" s="714">
        <f t="shared" si="40"/>
        <v>0</v>
      </c>
      <c r="L138" s="721"/>
      <c r="M138" s="721"/>
      <c r="N138" s="698">
        <f t="shared" si="41"/>
        <v>0</v>
      </c>
      <c r="O138" s="808"/>
      <c r="P138" s="698">
        <f t="shared" si="42"/>
        <v>0</v>
      </c>
      <c r="Q138" s="801"/>
      <c r="R138" s="698">
        <f t="shared" si="43"/>
        <v>0</v>
      </c>
      <c r="S138" s="752"/>
      <c r="T138" s="808"/>
      <c r="U138" s="698">
        <f t="shared" si="44"/>
        <v>0</v>
      </c>
      <c r="V138" s="792"/>
      <c r="W138" s="698">
        <f t="shared" si="45"/>
        <v>0</v>
      </c>
      <c r="X138" s="792"/>
    </row>
    <row r="139" spans="1:24" ht="11.25" customHeight="1" thickBot="1">
      <c r="A139" s="856" t="s">
        <v>163</v>
      </c>
      <c r="B139" s="856" t="s">
        <v>164</v>
      </c>
      <c r="C139" s="856" t="s">
        <v>21</v>
      </c>
      <c r="D139" s="781">
        <f t="shared" si="46"/>
        <v>0</v>
      </c>
      <c r="E139" s="781">
        <f t="shared" si="47"/>
        <v>0</v>
      </c>
      <c r="F139" s="857"/>
      <c r="G139" s="857"/>
      <c r="H139" s="781">
        <f t="shared" si="39"/>
        <v>0</v>
      </c>
      <c r="I139" s="857"/>
      <c r="J139" s="857"/>
      <c r="K139" s="714">
        <f t="shared" si="40"/>
        <v>0</v>
      </c>
      <c r="L139" s="721"/>
      <c r="M139" s="721"/>
      <c r="N139" s="698">
        <f t="shared" si="41"/>
        <v>0</v>
      </c>
      <c r="O139" s="790"/>
      <c r="P139" s="698">
        <f t="shared" si="42"/>
        <v>0</v>
      </c>
      <c r="Q139" s="804"/>
      <c r="R139" s="698">
        <f t="shared" si="43"/>
        <v>0</v>
      </c>
      <c r="S139" s="803"/>
      <c r="T139" s="790"/>
      <c r="U139" s="698">
        <f t="shared" si="44"/>
        <v>0</v>
      </c>
      <c r="V139" s="797"/>
      <c r="W139" s="698">
        <f t="shared" si="45"/>
        <v>0</v>
      </c>
      <c r="X139" s="797"/>
    </row>
    <row r="140" spans="1:24" ht="12" customHeight="1">
      <c r="A140" s="856" t="s">
        <v>165</v>
      </c>
      <c r="B140" s="858" t="s">
        <v>166</v>
      </c>
      <c r="C140" s="856" t="s">
        <v>47</v>
      </c>
      <c r="D140" s="857">
        <f>H140+K140</f>
        <v>1294</v>
      </c>
      <c r="E140" s="781">
        <f t="shared" ref="E140:G141" si="48">E142+E144+E146+E148+E150+E152+E154+E156</f>
        <v>0</v>
      </c>
      <c r="F140" s="781">
        <f t="shared" si="48"/>
        <v>0</v>
      </c>
      <c r="G140" s="781">
        <f t="shared" si="48"/>
        <v>0</v>
      </c>
      <c r="H140" s="857">
        <f>I140</f>
        <v>1153</v>
      </c>
      <c r="I140" s="857">
        <f>I144+I146+I150</f>
        <v>1153</v>
      </c>
      <c r="J140" s="781">
        <f>J142+J144+J146+J148+J150+J152+J154+J156</f>
        <v>0</v>
      </c>
      <c r="K140" s="857">
        <f>L140</f>
        <v>141</v>
      </c>
      <c r="L140" s="694">
        <f>L150</f>
        <v>141</v>
      </c>
      <c r="M140" s="694"/>
      <c r="N140" s="694">
        <f t="shared" ref="N140:X141" si="49">N142+N144+N146+N148+N150+N152+N154+N156</f>
        <v>0</v>
      </c>
      <c r="O140" s="694">
        <f t="shared" si="49"/>
        <v>0</v>
      </c>
      <c r="P140" s="694">
        <f t="shared" si="49"/>
        <v>0</v>
      </c>
      <c r="Q140" s="694">
        <f t="shared" si="49"/>
        <v>0</v>
      </c>
      <c r="R140" s="694">
        <f t="shared" si="49"/>
        <v>0</v>
      </c>
      <c r="S140" s="694">
        <f t="shared" si="49"/>
        <v>0</v>
      </c>
      <c r="T140" s="694">
        <f t="shared" si="49"/>
        <v>0</v>
      </c>
      <c r="U140" s="694">
        <f t="shared" si="49"/>
        <v>0</v>
      </c>
      <c r="V140" s="694">
        <f t="shared" si="49"/>
        <v>0</v>
      </c>
      <c r="W140" s="694">
        <f t="shared" si="49"/>
        <v>0</v>
      </c>
      <c r="X140" s="694">
        <f t="shared" si="49"/>
        <v>0</v>
      </c>
    </row>
    <row r="141" spans="1:24" ht="12.75" customHeight="1" thickBot="1">
      <c r="A141" s="856"/>
      <c r="B141" s="858" t="s">
        <v>84</v>
      </c>
      <c r="C141" s="856" t="s">
        <v>21</v>
      </c>
      <c r="D141" s="857">
        <f>H141+K141</f>
        <v>17.79524</v>
      </c>
      <c r="E141" s="781">
        <f t="shared" si="48"/>
        <v>0</v>
      </c>
      <c r="F141" s="781">
        <f t="shared" si="48"/>
        <v>0</v>
      </c>
      <c r="G141" s="781">
        <f t="shared" si="48"/>
        <v>0</v>
      </c>
      <c r="H141" s="857">
        <f>I141</f>
        <v>16.334240000000001</v>
      </c>
      <c r="I141" s="857">
        <f>I145+I147+I151</f>
        <v>16.334240000000001</v>
      </c>
      <c r="J141" s="781">
        <f>J143+J145+J147+J149+J151+J153+J155+J157</f>
        <v>0</v>
      </c>
      <c r="K141" s="857">
        <f>L141</f>
        <v>1.4610000000000001</v>
      </c>
      <c r="L141" s="694">
        <f>L151</f>
        <v>1.4610000000000001</v>
      </c>
      <c r="M141" s="694"/>
      <c r="N141" s="694">
        <f t="shared" si="49"/>
        <v>0</v>
      </c>
      <c r="O141" s="694">
        <f t="shared" si="49"/>
        <v>0</v>
      </c>
      <c r="P141" s="694">
        <f t="shared" si="49"/>
        <v>0</v>
      </c>
      <c r="Q141" s="694">
        <f t="shared" si="49"/>
        <v>0</v>
      </c>
      <c r="R141" s="694">
        <f t="shared" si="49"/>
        <v>0</v>
      </c>
      <c r="S141" s="694">
        <f t="shared" si="49"/>
        <v>0</v>
      </c>
      <c r="T141" s="694">
        <f t="shared" si="49"/>
        <v>0</v>
      </c>
      <c r="U141" s="694">
        <f t="shared" si="49"/>
        <v>0</v>
      </c>
      <c r="V141" s="694">
        <f t="shared" si="49"/>
        <v>0</v>
      </c>
      <c r="W141" s="694">
        <f t="shared" si="49"/>
        <v>0</v>
      </c>
      <c r="X141" s="694">
        <f t="shared" si="49"/>
        <v>0</v>
      </c>
    </row>
    <row r="142" spans="1:24" ht="12" customHeight="1" thickBot="1">
      <c r="A142" s="856" t="s">
        <v>167</v>
      </c>
      <c r="B142" s="856" t="s">
        <v>168</v>
      </c>
      <c r="C142" s="856" t="s">
        <v>47</v>
      </c>
      <c r="D142" s="781">
        <f t="shared" ref="D142" si="50">E142+H142+K142+N142+P142+R142+U142+W142</f>
        <v>0</v>
      </c>
      <c r="E142" s="781">
        <f t="shared" ref="E142:E157" si="51">F142+G142</f>
        <v>0</v>
      </c>
      <c r="F142" s="857"/>
      <c r="G142" s="857"/>
      <c r="H142" s="857">
        <v>0</v>
      </c>
      <c r="I142" s="857"/>
      <c r="J142" s="857"/>
      <c r="K142" s="714">
        <f t="shared" ref="K142:K157" si="52">L142+M142</f>
        <v>0</v>
      </c>
      <c r="L142" s="721"/>
      <c r="M142" s="721"/>
      <c r="N142" s="698">
        <f t="shared" ref="N142:N157" si="53">O142</f>
        <v>0</v>
      </c>
      <c r="O142" s="863"/>
      <c r="P142" s="698">
        <f t="shared" ref="P142:P157" si="54">Q142</f>
        <v>0</v>
      </c>
      <c r="Q142" s="701"/>
      <c r="R142" s="698">
        <f t="shared" ref="R142:R157" si="55">S142+T142</f>
        <v>0</v>
      </c>
      <c r="S142" s="714"/>
      <c r="T142" s="698"/>
      <c r="U142" s="698">
        <f t="shared" ref="U142:U157" si="56">V142</f>
        <v>0</v>
      </c>
      <c r="V142" s="698"/>
      <c r="W142" s="698">
        <f t="shared" ref="W142:W157" si="57">X142</f>
        <v>0</v>
      </c>
      <c r="X142" s="698"/>
    </row>
    <row r="143" spans="1:24" ht="12.75" customHeight="1" thickBot="1">
      <c r="A143" s="856"/>
      <c r="B143" s="856"/>
      <c r="C143" s="856" t="s">
        <v>21</v>
      </c>
      <c r="D143" s="781">
        <f>E143+H145+K143+N143+P143+R143+U143+W143</f>
        <v>0</v>
      </c>
      <c r="E143" s="781">
        <f t="shared" si="51"/>
        <v>0</v>
      </c>
      <c r="F143" s="857"/>
      <c r="G143" s="857"/>
      <c r="H143" s="857">
        <v>0</v>
      </c>
      <c r="I143" s="857"/>
      <c r="J143" s="857"/>
      <c r="K143" s="714">
        <f t="shared" si="52"/>
        <v>0</v>
      </c>
      <c r="L143" s="721"/>
      <c r="M143" s="721"/>
      <c r="N143" s="698">
        <f t="shared" si="53"/>
        <v>0</v>
      </c>
      <c r="O143" s="863"/>
      <c r="P143" s="698">
        <f t="shared" si="54"/>
        <v>0</v>
      </c>
      <c r="Q143" s="701"/>
      <c r="R143" s="698">
        <f t="shared" si="55"/>
        <v>0</v>
      </c>
      <c r="S143" s="714"/>
      <c r="T143" s="698"/>
      <c r="U143" s="698">
        <f t="shared" si="56"/>
        <v>0</v>
      </c>
      <c r="V143" s="698"/>
      <c r="W143" s="698">
        <f t="shared" si="57"/>
        <v>0</v>
      </c>
      <c r="X143" s="698"/>
    </row>
    <row r="144" spans="1:24" ht="13.5" customHeight="1" thickBot="1">
      <c r="A144" s="856" t="s">
        <v>169</v>
      </c>
      <c r="B144" s="856" t="s">
        <v>170</v>
      </c>
      <c r="C144" s="856" t="s">
        <v>47</v>
      </c>
      <c r="D144" s="781">
        <f>E144+I144+K144+N144+P144+R144+U144+W144</f>
        <v>4</v>
      </c>
      <c r="E144" s="781">
        <f t="shared" si="51"/>
        <v>0</v>
      </c>
      <c r="F144" s="857"/>
      <c r="G144" s="857"/>
      <c r="H144" s="857">
        <v>0</v>
      </c>
      <c r="I144" s="857">
        <v>4</v>
      </c>
      <c r="J144" s="857"/>
      <c r="K144" s="714">
        <f t="shared" si="52"/>
        <v>0</v>
      </c>
      <c r="L144" s="721"/>
      <c r="M144" s="721"/>
      <c r="N144" s="698">
        <f t="shared" si="53"/>
        <v>0</v>
      </c>
      <c r="O144" s="863"/>
      <c r="P144" s="698">
        <f t="shared" si="54"/>
        <v>0</v>
      </c>
      <c r="Q144" s="701"/>
      <c r="R144" s="698">
        <f t="shared" si="55"/>
        <v>0</v>
      </c>
      <c r="S144" s="714"/>
      <c r="T144" s="698"/>
      <c r="U144" s="698">
        <f t="shared" si="56"/>
        <v>0</v>
      </c>
      <c r="V144" s="698"/>
      <c r="W144" s="698">
        <f t="shared" si="57"/>
        <v>0</v>
      </c>
      <c r="X144" s="698"/>
    </row>
    <row r="145" spans="1:24" ht="13.5" customHeight="1" thickBot="1">
      <c r="A145" s="856"/>
      <c r="B145" s="856"/>
      <c r="C145" s="856" t="s">
        <v>21</v>
      </c>
      <c r="D145" s="781">
        <f>E145+I145+K145+N145+P145+R145+U145+W145</f>
        <v>1.40924</v>
      </c>
      <c r="E145" s="781">
        <f t="shared" si="51"/>
        <v>0</v>
      </c>
      <c r="F145" s="857"/>
      <c r="G145" s="857"/>
      <c r="H145" s="857">
        <v>0</v>
      </c>
      <c r="I145" s="857">
        <v>1.40924</v>
      </c>
      <c r="J145" s="857"/>
      <c r="K145" s="714">
        <f t="shared" si="52"/>
        <v>0</v>
      </c>
      <c r="L145" s="721"/>
      <c r="M145" s="721"/>
      <c r="N145" s="698">
        <f t="shared" si="53"/>
        <v>0</v>
      </c>
      <c r="O145" s="863"/>
      <c r="P145" s="698">
        <f t="shared" si="54"/>
        <v>0</v>
      </c>
      <c r="Q145" s="701"/>
      <c r="R145" s="698">
        <f t="shared" si="55"/>
        <v>0</v>
      </c>
      <c r="S145" s="714"/>
      <c r="T145" s="698"/>
      <c r="U145" s="698">
        <f t="shared" si="56"/>
        <v>0</v>
      </c>
      <c r="V145" s="698"/>
      <c r="W145" s="698">
        <f t="shared" si="57"/>
        <v>0</v>
      </c>
      <c r="X145" s="698"/>
    </row>
    <row r="146" spans="1:24" ht="12" customHeight="1" thickBot="1">
      <c r="A146" s="856" t="s">
        <v>171</v>
      </c>
      <c r="B146" s="856" t="s">
        <v>172</v>
      </c>
      <c r="C146" s="856" t="s">
        <v>47</v>
      </c>
      <c r="D146" s="781">
        <f>E146+I146+K146+N146+P146+R146+U146+W146</f>
        <v>30</v>
      </c>
      <c r="E146" s="781">
        <f t="shared" si="51"/>
        <v>0</v>
      </c>
      <c r="F146" s="857"/>
      <c r="G146" s="857"/>
      <c r="H146" s="857">
        <v>30</v>
      </c>
      <c r="I146" s="857">
        <v>30</v>
      </c>
      <c r="J146" s="857"/>
      <c r="K146" s="714">
        <f t="shared" si="52"/>
        <v>0</v>
      </c>
      <c r="L146" s="721"/>
      <c r="M146" s="721"/>
      <c r="N146" s="698">
        <f t="shared" si="53"/>
        <v>0</v>
      </c>
      <c r="O146" s="863"/>
      <c r="P146" s="698">
        <f t="shared" si="54"/>
        <v>0</v>
      </c>
      <c r="Q146" s="701"/>
      <c r="R146" s="698">
        <f t="shared" si="55"/>
        <v>0</v>
      </c>
      <c r="S146" s="714"/>
      <c r="T146" s="698"/>
      <c r="U146" s="698">
        <f t="shared" si="56"/>
        <v>0</v>
      </c>
      <c r="V146" s="698"/>
      <c r="W146" s="698">
        <f t="shared" si="57"/>
        <v>0</v>
      </c>
      <c r="X146" s="698"/>
    </row>
    <row r="147" spans="1:24" ht="12" customHeight="1" thickBot="1">
      <c r="A147" s="856"/>
      <c r="B147" s="856"/>
      <c r="C147" s="856" t="s">
        <v>21</v>
      </c>
      <c r="D147" s="781">
        <f>E147+I147+K147+N147+P147+R147+U147+W147</f>
        <v>1.901</v>
      </c>
      <c r="E147" s="781">
        <f t="shared" si="51"/>
        <v>0</v>
      </c>
      <c r="F147" s="857"/>
      <c r="G147" s="857"/>
      <c r="H147" s="857">
        <v>0</v>
      </c>
      <c r="I147" s="857">
        <v>1.901</v>
      </c>
      <c r="J147" s="857"/>
      <c r="K147" s="714"/>
      <c r="L147" s="721"/>
      <c r="M147" s="721"/>
      <c r="N147" s="698">
        <f t="shared" si="53"/>
        <v>0</v>
      </c>
      <c r="O147" s="863"/>
      <c r="P147" s="698">
        <f t="shared" si="54"/>
        <v>0</v>
      </c>
      <c r="Q147" s="701"/>
      <c r="R147" s="698">
        <f t="shared" si="55"/>
        <v>0</v>
      </c>
      <c r="S147" s="714"/>
      <c r="T147" s="698"/>
      <c r="U147" s="698">
        <f t="shared" si="56"/>
        <v>0</v>
      </c>
      <c r="V147" s="698"/>
      <c r="W147" s="698">
        <f t="shared" si="57"/>
        <v>0</v>
      </c>
      <c r="X147" s="698"/>
    </row>
    <row r="148" spans="1:24" ht="12" customHeight="1" thickBot="1">
      <c r="A148" s="856" t="s">
        <v>173</v>
      </c>
      <c r="B148" s="856" t="s">
        <v>174</v>
      </c>
      <c r="C148" s="856" t="s">
        <v>47</v>
      </c>
      <c r="D148" s="781">
        <v>0</v>
      </c>
      <c r="E148" s="781">
        <f t="shared" si="51"/>
        <v>0</v>
      </c>
      <c r="F148" s="857"/>
      <c r="G148" s="857"/>
      <c r="H148" s="857">
        <v>0</v>
      </c>
      <c r="I148" s="857"/>
      <c r="J148" s="857"/>
      <c r="K148" s="714">
        <f t="shared" si="52"/>
        <v>0</v>
      </c>
      <c r="L148" s="721"/>
      <c r="M148" s="721"/>
      <c r="N148" s="698">
        <f t="shared" si="53"/>
        <v>0</v>
      </c>
      <c r="O148" s="863"/>
      <c r="P148" s="698">
        <f t="shared" si="54"/>
        <v>0</v>
      </c>
      <c r="Q148" s="701"/>
      <c r="R148" s="698">
        <f t="shared" si="55"/>
        <v>0</v>
      </c>
      <c r="S148" s="714"/>
      <c r="T148" s="698"/>
      <c r="U148" s="698">
        <f t="shared" si="56"/>
        <v>0</v>
      </c>
      <c r="V148" s="698"/>
      <c r="W148" s="698">
        <f t="shared" si="57"/>
        <v>0</v>
      </c>
      <c r="X148" s="698"/>
    </row>
    <row r="149" spans="1:24" ht="11.25" customHeight="1" thickBot="1">
      <c r="A149" s="856"/>
      <c r="B149" s="856"/>
      <c r="C149" s="856" t="s">
        <v>21</v>
      </c>
      <c r="D149" s="781">
        <v>0</v>
      </c>
      <c r="E149" s="781">
        <f t="shared" si="51"/>
        <v>0</v>
      </c>
      <c r="F149" s="857"/>
      <c r="G149" s="857"/>
      <c r="H149" s="857">
        <v>0</v>
      </c>
      <c r="I149" s="857"/>
      <c r="J149" s="857"/>
      <c r="K149" s="714">
        <f t="shared" si="52"/>
        <v>0</v>
      </c>
      <c r="L149" s="721"/>
      <c r="M149" s="721"/>
      <c r="N149" s="698">
        <f t="shared" si="53"/>
        <v>0</v>
      </c>
      <c r="O149" s="863"/>
      <c r="P149" s="698">
        <f t="shared" si="54"/>
        <v>0</v>
      </c>
      <c r="Q149" s="864"/>
      <c r="R149" s="698">
        <f t="shared" si="55"/>
        <v>0</v>
      </c>
      <c r="S149" s="729"/>
      <c r="T149" s="726"/>
      <c r="U149" s="698">
        <f t="shared" si="56"/>
        <v>0</v>
      </c>
      <c r="V149" s="726"/>
      <c r="W149" s="698">
        <f t="shared" si="57"/>
        <v>0</v>
      </c>
      <c r="X149" s="726"/>
    </row>
    <row r="150" spans="1:24" ht="14.25" customHeight="1" thickBot="1">
      <c r="A150" s="856" t="s">
        <v>175</v>
      </c>
      <c r="B150" s="856" t="s">
        <v>176</v>
      </c>
      <c r="C150" s="856" t="s">
        <v>47</v>
      </c>
      <c r="D150" s="781">
        <f t="shared" ref="D150:D157" si="58">E150+H150+K150+N150+P150+R150+U150+W150</f>
        <v>1260</v>
      </c>
      <c r="E150" s="781">
        <f t="shared" si="51"/>
        <v>0</v>
      </c>
      <c r="F150" s="857"/>
      <c r="G150" s="857"/>
      <c r="H150" s="857">
        <f>I150</f>
        <v>1119</v>
      </c>
      <c r="I150" s="857">
        <v>1119</v>
      </c>
      <c r="J150" s="857"/>
      <c r="K150" s="714">
        <f>L150+M150</f>
        <v>141</v>
      </c>
      <c r="L150" s="694">
        <v>141</v>
      </c>
      <c r="M150" s="721"/>
      <c r="N150" s="698">
        <f t="shared" si="53"/>
        <v>0</v>
      </c>
      <c r="O150" s="863"/>
      <c r="P150" s="698">
        <f t="shared" si="54"/>
        <v>0</v>
      </c>
      <c r="Q150" s="701"/>
      <c r="R150" s="698">
        <f t="shared" si="55"/>
        <v>0</v>
      </c>
      <c r="S150" s="714"/>
      <c r="T150" s="698"/>
      <c r="U150" s="698">
        <f t="shared" si="56"/>
        <v>0</v>
      </c>
      <c r="V150" s="698"/>
      <c r="W150" s="698">
        <f t="shared" si="57"/>
        <v>0</v>
      </c>
      <c r="X150" s="698"/>
    </row>
    <row r="151" spans="1:24" ht="11.25" customHeight="1" thickBot="1">
      <c r="A151" s="856"/>
      <c r="B151" s="856"/>
      <c r="C151" s="856" t="s">
        <v>21</v>
      </c>
      <c r="D151" s="781">
        <f t="shared" si="58"/>
        <v>14.484999999999999</v>
      </c>
      <c r="E151" s="781">
        <f t="shared" si="51"/>
        <v>0</v>
      </c>
      <c r="F151" s="857"/>
      <c r="G151" s="857"/>
      <c r="H151" s="857">
        <f>I151</f>
        <v>13.023999999999999</v>
      </c>
      <c r="I151" s="857">
        <v>13.023999999999999</v>
      </c>
      <c r="J151" s="857"/>
      <c r="K151" s="714">
        <f>L151+M151</f>
        <v>1.4610000000000001</v>
      </c>
      <c r="L151" s="694">
        <v>1.4610000000000001</v>
      </c>
      <c r="M151" s="721"/>
      <c r="N151" s="698">
        <f t="shared" si="53"/>
        <v>0</v>
      </c>
      <c r="O151" s="863"/>
      <c r="P151" s="698">
        <f t="shared" si="54"/>
        <v>0</v>
      </c>
      <c r="Q151" s="701"/>
      <c r="R151" s="698">
        <f t="shared" si="55"/>
        <v>0</v>
      </c>
      <c r="S151" s="714"/>
      <c r="T151" s="698"/>
      <c r="U151" s="698">
        <f t="shared" si="56"/>
        <v>0</v>
      </c>
      <c r="V151" s="698"/>
      <c r="W151" s="698">
        <f t="shared" si="57"/>
        <v>0</v>
      </c>
      <c r="X151" s="698"/>
    </row>
    <row r="152" spans="1:24" ht="13.5" customHeight="1" thickBot="1">
      <c r="A152" s="856" t="s">
        <v>177</v>
      </c>
      <c r="B152" s="856" t="s">
        <v>178</v>
      </c>
      <c r="C152" s="856" t="s">
        <v>47</v>
      </c>
      <c r="D152" s="781">
        <f t="shared" si="58"/>
        <v>0</v>
      </c>
      <c r="E152" s="781">
        <f t="shared" si="51"/>
        <v>0</v>
      </c>
      <c r="F152" s="857"/>
      <c r="G152" s="857"/>
      <c r="H152" s="857">
        <v>0</v>
      </c>
      <c r="I152" s="857"/>
      <c r="J152" s="857"/>
      <c r="K152" s="714">
        <f t="shared" si="52"/>
        <v>0</v>
      </c>
      <c r="L152" s="721"/>
      <c r="M152" s="721"/>
      <c r="N152" s="698">
        <f t="shared" si="53"/>
        <v>0</v>
      </c>
      <c r="O152" s="863"/>
      <c r="P152" s="698">
        <f t="shared" si="54"/>
        <v>0</v>
      </c>
      <c r="Q152" s="701"/>
      <c r="R152" s="698">
        <f t="shared" si="55"/>
        <v>0</v>
      </c>
      <c r="S152" s="714"/>
      <c r="T152" s="698"/>
      <c r="U152" s="698">
        <f t="shared" si="56"/>
        <v>0</v>
      </c>
      <c r="V152" s="698"/>
      <c r="W152" s="698">
        <f t="shared" si="57"/>
        <v>0</v>
      </c>
      <c r="X152" s="698"/>
    </row>
    <row r="153" spans="1:24" ht="11.25" customHeight="1" thickBot="1">
      <c r="A153" s="856"/>
      <c r="B153" s="856"/>
      <c r="C153" s="856" t="s">
        <v>21</v>
      </c>
      <c r="D153" s="781">
        <f t="shared" si="58"/>
        <v>0</v>
      </c>
      <c r="E153" s="781">
        <f t="shared" si="51"/>
        <v>0</v>
      </c>
      <c r="F153" s="857"/>
      <c r="G153" s="857"/>
      <c r="H153" s="857">
        <v>0</v>
      </c>
      <c r="I153" s="857"/>
      <c r="J153" s="857"/>
      <c r="K153" s="714">
        <f t="shared" si="52"/>
        <v>0</v>
      </c>
      <c r="L153" s="721"/>
      <c r="M153" s="721"/>
      <c r="N153" s="698">
        <f t="shared" si="53"/>
        <v>0</v>
      </c>
      <c r="O153" s="863"/>
      <c r="P153" s="698">
        <f t="shared" si="54"/>
        <v>0</v>
      </c>
      <c r="Q153" s="701"/>
      <c r="R153" s="698">
        <f t="shared" si="55"/>
        <v>0</v>
      </c>
      <c r="S153" s="714"/>
      <c r="T153" s="698"/>
      <c r="U153" s="698">
        <f t="shared" si="56"/>
        <v>0</v>
      </c>
      <c r="V153" s="698"/>
      <c r="W153" s="698">
        <f t="shared" si="57"/>
        <v>0</v>
      </c>
      <c r="X153" s="698"/>
    </row>
    <row r="154" spans="1:24" ht="11.25" customHeight="1" thickBot="1">
      <c r="A154" s="856" t="s">
        <v>179</v>
      </c>
      <c r="B154" s="856" t="s">
        <v>180</v>
      </c>
      <c r="C154" s="856" t="s">
        <v>47</v>
      </c>
      <c r="D154" s="781">
        <f>E154+I154+K154+N154+P154+R154+U154+W154</f>
        <v>0</v>
      </c>
      <c r="E154" s="781">
        <f t="shared" si="51"/>
        <v>0</v>
      </c>
      <c r="F154" s="857"/>
      <c r="G154" s="857"/>
      <c r="H154" s="857">
        <v>0</v>
      </c>
      <c r="I154" s="857"/>
      <c r="J154" s="857"/>
      <c r="K154" s="714">
        <f t="shared" si="52"/>
        <v>0</v>
      </c>
      <c r="L154" s="721"/>
      <c r="M154" s="721"/>
      <c r="N154" s="698">
        <f t="shared" si="53"/>
        <v>0</v>
      </c>
      <c r="O154" s="863"/>
      <c r="P154" s="698">
        <f t="shared" si="54"/>
        <v>0</v>
      </c>
      <c r="Q154" s="701"/>
      <c r="R154" s="698">
        <f t="shared" si="55"/>
        <v>0</v>
      </c>
      <c r="S154" s="714"/>
      <c r="T154" s="698"/>
      <c r="U154" s="698">
        <f t="shared" si="56"/>
        <v>0</v>
      </c>
      <c r="V154" s="698"/>
      <c r="W154" s="698">
        <f t="shared" si="57"/>
        <v>0</v>
      </c>
      <c r="X154" s="698"/>
    </row>
    <row r="155" spans="1:24" ht="12" customHeight="1" thickBot="1">
      <c r="A155" s="856"/>
      <c r="B155" s="856"/>
      <c r="C155" s="856" t="s">
        <v>21</v>
      </c>
      <c r="D155" s="781">
        <f>E155+I155+K155+N155+P155+R155+U155+W155</f>
        <v>0</v>
      </c>
      <c r="E155" s="781">
        <f t="shared" si="51"/>
        <v>0</v>
      </c>
      <c r="F155" s="857"/>
      <c r="G155" s="857"/>
      <c r="H155" s="857">
        <v>0</v>
      </c>
      <c r="I155" s="857"/>
      <c r="J155" s="857"/>
      <c r="K155" s="714">
        <f t="shared" si="52"/>
        <v>0</v>
      </c>
      <c r="L155" s="721"/>
      <c r="M155" s="721"/>
      <c r="N155" s="698">
        <f t="shared" si="53"/>
        <v>0</v>
      </c>
      <c r="O155" s="863"/>
      <c r="P155" s="698">
        <f t="shared" si="54"/>
        <v>0</v>
      </c>
      <c r="Q155" s="701"/>
      <c r="R155" s="698">
        <f t="shared" si="55"/>
        <v>0</v>
      </c>
      <c r="S155" s="714"/>
      <c r="T155" s="698"/>
      <c r="U155" s="698">
        <f t="shared" si="56"/>
        <v>0</v>
      </c>
      <c r="V155" s="698"/>
      <c r="W155" s="698">
        <f t="shared" si="57"/>
        <v>0</v>
      </c>
      <c r="X155" s="698"/>
    </row>
    <row r="156" spans="1:24" ht="11.25" customHeight="1" thickBot="1">
      <c r="A156" s="856" t="s">
        <v>181</v>
      </c>
      <c r="B156" s="856" t="s">
        <v>182</v>
      </c>
      <c r="C156" s="856" t="s">
        <v>47</v>
      </c>
      <c r="D156" s="781">
        <f t="shared" si="58"/>
        <v>0</v>
      </c>
      <c r="E156" s="781">
        <f t="shared" si="51"/>
        <v>0</v>
      </c>
      <c r="F156" s="857"/>
      <c r="G156" s="857"/>
      <c r="H156" s="857">
        <v>0</v>
      </c>
      <c r="I156" s="857"/>
      <c r="J156" s="857"/>
      <c r="K156" s="714">
        <f t="shared" si="52"/>
        <v>0</v>
      </c>
      <c r="L156" s="721"/>
      <c r="M156" s="721"/>
      <c r="N156" s="698">
        <f t="shared" si="53"/>
        <v>0</v>
      </c>
      <c r="O156" s="852"/>
      <c r="P156" s="698">
        <f t="shared" si="54"/>
        <v>0</v>
      </c>
      <c r="Q156" s="701"/>
      <c r="R156" s="698">
        <f t="shared" si="55"/>
        <v>0</v>
      </c>
      <c r="S156" s="714"/>
      <c r="T156" s="698"/>
      <c r="U156" s="698">
        <f t="shared" si="56"/>
        <v>0</v>
      </c>
      <c r="V156" s="698"/>
      <c r="W156" s="698">
        <f t="shared" si="57"/>
        <v>0</v>
      </c>
      <c r="X156" s="698"/>
    </row>
    <row r="157" spans="1:24" ht="11.25" customHeight="1" thickBot="1">
      <c r="A157" s="856"/>
      <c r="B157" s="856"/>
      <c r="C157" s="856" t="s">
        <v>21</v>
      </c>
      <c r="D157" s="781">
        <f t="shared" si="58"/>
        <v>0</v>
      </c>
      <c r="E157" s="781">
        <f t="shared" si="51"/>
        <v>0</v>
      </c>
      <c r="F157" s="857"/>
      <c r="G157" s="857"/>
      <c r="H157" s="857">
        <v>0</v>
      </c>
      <c r="I157" s="857"/>
      <c r="J157" s="857"/>
      <c r="K157" s="714">
        <f t="shared" si="52"/>
        <v>0</v>
      </c>
      <c r="L157" s="721"/>
      <c r="M157" s="721"/>
      <c r="N157" s="698">
        <f t="shared" si="53"/>
        <v>0</v>
      </c>
      <c r="O157" s="804"/>
      <c r="P157" s="698">
        <f t="shared" si="54"/>
        <v>0</v>
      </c>
      <c r="Q157" s="747"/>
      <c r="R157" s="698">
        <f t="shared" si="55"/>
        <v>0</v>
      </c>
      <c r="S157" s="742"/>
      <c r="T157" s="720"/>
      <c r="U157" s="698">
        <f t="shared" si="56"/>
        <v>0</v>
      </c>
      <c r="V157" s="720"/>
      <c r="W157" s="698">
        <f t="shared" si="57"/>
        <v>0</v>
      </c>
      <c r="X157" s="720"/>
    </row>
    <row r="158" spans="1:24">
      <c r="A158" s="829"/>
      <c r="B158" s="829"/>
      <c r="C158" s="829"/>
      <c r="D158" s="1349"/>
      <c r="E158" s="1349"/>
      <c r="F158" s="1310"/>
      <c r="G158" s="1310"/>
      <c r="H158" s="1310"/>
      <c r="I158" s="1310"/>
      <c r="J158" s="1310"/>
      <c r="K158" s="866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</row>
    <row r="159" spans="1:24" hidden="1">
      <c r="A159" s="829"/>
      <c r="B159" s="829"/>
      <c r="C159" s="829"/>
      <c r="D159" s="1349"/>
      <c r="E159" s="1349"/>
      <c r="F159" s="1310"/>
      <c r="G159" s="1310"/>
      <c r="H159" s="1310"/>
      <c r="I159" s="1310"/>
      <c r="J159" s="1310"/>
      <c r="K159" s="866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</row>
    <row r="160" spans="1:24" hidden="1">
      <c r="A160" s="829"/>
      <c r="B160" s="829"/>
      <c r="C160" s="829"/>
      <c r="D160" s="1349"/>
      <c r="E160" s="1349"/>
      <c r="F160" s="1310"/>
      <c r="G160" s="1310"/>
      <c r="H160" s="1310"/>
      <c r="I160" s="1310"/>
      <c r="J160" s="1310"/>
      <c r="K160" s="866"/>
      <c r="L160" s="866"/>
      <c r="M160" s="866"/>
      <c r="N160" s="866"/>
      <c r="O160" s="866"/>
      <c r="P160" s="866"/>
      <c r="Q160" s="866"/>
      <c r="R160" s="866"/>
      <c r="S160" s="866"/>
      <c r="T160" s="866"/>
      <c r="U160" s="866"/>
      <c r="V160" s="866"/>
      <c r="W160" s="866"/>
      <c r="X160" s="866"/>
    </row>
    <row r="161" spans="1:24" hidden="1">
      <c r="A161" s="829"/>
      <c r="B161" s="829"/>
      <c r="C161" s="829"/>
      <c r="D161" s="1349"/>
      <c r="E161" s="1349"/>
      <c r="F161" s="1310"/>
      <c r="G161" s="1310"/>
      <c r="H161" s="1310"/>
      <c r="I161" s="1310"/>
      <c r="J161" s="1310"/>
      <c r="K161" s="866"/>
      <c r="L161" s="866"/>
      <c r="M161" s="866"/>
      <c r="N161" s="866"/>
      <c r="O161" s="866"/>
      <c r="P161" s="866"/>
      <c r="Q161" s="866"/>
      <c r="R161" s="866"/>
      <c r="S161" s="866"/>
      <c r="T161" s="866"/>
      <c r="U161" s="866"/>
      <c r="V161" s="866"/>
      <c r="W161" s="866"/>
      <c r="X161" s="866"/>
    </row>
    <row r="162" spans="1:24">
      <c r="A162" s="865" t="s">
        <v>211</v>
      </c>
      <c r="B162" s="865"/>
      <c r="C162" s="865"/>
      <c r="D162" s="865"/>
      <c r="E162" s="865"/>
      <c r="F162" s="866"/>
      <c r="G162" s="866"/>
      <c r="H162" s="866"/>
      <c r="I162" s="866"/>
      <c r="J162" s="866"/>
      <c r="K162" s="1350"/>
      <c r="L162" s="1350"/>
      <c r="M162" s="1350"/>
      <c r="N162" s="1350"/>
      <c r="O162" s="1350"/>
      <c r="P162" s="1350"/>
      <c r="Q162" s="1350"/>
      <c r="R162" s="1350"/>
      <c r="S162" s="1350"/>
      <c r="T162" s="1350"/>
      <c r="U162" s="1350"/>
      <c r="V162" s="1350"/>
      <c r="W162" s="1350"/>
      <c r="X162" s="1350"/>
    </row>
    <row r="163" spans="1:24">
      <c r="A163" s="1720" t="s">
        <v>212</v>
      </c>
      <c r="B163" s="1720"/>
      <c r="C163" s="1720"/>
      <c r="D163" s="1720"/>
      <c r="E163" s="1720"/>
      <c r="F163" s="1720"/>
      <c r="G163" s="1720"/>
      <c r="H163" s="1720"/>
      <c r="I163" s="1720"/>
      <c r="J163" s="1720"/>
      <c r="K163" s="1350"/>
      <c r="L163" s="1350"/>
      <c r="M163" s="1350"/>
      <c r="N163" s="1350"/>
      <c r="O163" s="1350"/>
      <c r="P163" s="1350"/>
      <c r="Q163" s="1350"/>
      <c r="R163" s="1350"/>
      <c r="S163" s="1350"/>
      <c r="T163" s="1350"/>
      <c r="U163" s="1350"/>
      <c r="V163" s="1350"/>
      <c r="W163" s="1350"/>
      <c r="X163" s="1350"/>
    </row>
    <row r="164" spans="1:24">
      <c r="A164" s="867"/>
      <c r="B164" s="866"/>
      <c r="C164" s="866"/>
      <c r="D164" s="866"/>
      <c r="E164" s="866"/>
      <c r="F164" s="866"/>
      <c r="G164" s="866"/>
      <c r="H164" s="866"/>
      <c r="I164" s="866"/>
      <c r="J164" s="866"/>
      <c r="K164" s="1350"/>
      <c r="L164" s="1350"/>
      <c r="M164" s="1350"/>
      <c r="N164" s="1350"/>
      <c r="O164" s="1350"/>
      <c r="P164" s="1350"/>
      <c r="Q164" s="1350"/>
      <c r="R164" s="1350"/>
      <c r="S164" s="1350"/>
      <c r="T164" s="1350"/>
      <c r="U164" s="1350"/>
      <c r="V164" s="1350"/>
      <c r="W164" s="1350"/>
      <c r="X164" s="1350"/>
    </row>
    <row r="165" spans="1:24">
      <c r="A165" s="865" t="s">
        <v>213</v>
      </c>
      <c r="B165" s="865"/>
      <c r="C165" s="865"/>
      <c r="D165" s="865"/>
      <c r="E165" s="865"/>
      <c r="F165" s="866"/>
      <c r="G165" s="866"/>
      <c r="H165" s="866"/>
      <c r="I165" s="866"/>
      <c r="J165" s="866"/>
      <c r="K165" s="1350"/>
      <c r="L165" s="1350"/>
      <c r="M165" s="1350"/>
      <c r="N165" s="1350"/>
      <c r="O165" s="1350"/>
      <c r="P165" s="1350"/>
      <c r="Q165" s="1350"/>
      <c r="R165" s="1350"/>
      <c r="S165" s="1350"/>
      <c r="T165" s="1350"/>
      <c r="U165" s="1350"/>
      <c r="V165" s="1350"/>
      <c r="W165" s="1350"/>
      <c r="X165" s="1350"/>
    </row>
  </sheetData>
  <mergeCells count="27">
    <mergeCell ref="A15:A17"/>
    <mergeCell ref="A102:T102"/>
    <mergeCell ref="A163:J163"/>
    <mergeCell ref="R11:T12"/>
    <mergeCell ref="U11:V12"/>
    <mergeCell ref="A11:A13"/>
    <mergeCell ref="B11:B13"/>
    <mergeCell ref="C11:C13"/>
    <mergeCell ref="D11:D13"/>
    <mergeCell ref="W11:X12"/>
    <mergeCell ref="E12:G12"/>
    <mergeCell ref="H12:J12"/>
    <mergeCell ref="K12:M12"/>
    <mergeCell ref="N12:O12"/>
    <mergeCell ref="P12:Q12"/>
    <mergeCell ref="E11:Q11"/>
    <mergeCell ref="I4:K4"/>
    <mergeCell ref="T4:X4"/>
    <mergeCell ref="I5:M5"/>
    <mergeCell ref="T5:X5"/>
    <mergeCell ref="A6:M6"/>
    <mergeCell ref="I1:K1"/>
    <mergeCell ref="T1:X1"/>
    <mergeCell ref="I2:K2"/>
    <mergeCell ref="T2:X2"/>
    <mergeCell ref="I3:K3"/>
    <mergeCell ref="T3:X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5"/>
  <sheetViews>
    <sheetView topLeftCell="A76" workbookViewId="0">
      <selection activeCell="Z96" sqref="Z96"/>
    </sheetView>
  </sheetViews>
  <sheetFormatPr defaultRowHeight="15"/>
  <cols>
    <col min="2" max="2" width="39.42578125" customWidth="1"/>
    <col min="4" max="4" width="8.85546875" customWidth="1"/>
    <col min="5" max="5" width="0.28515625" hidden="1" customWidth="1"/>
    <col min="6" max="7" width="9.140625" hidden="1" customWidth="1"/>
    <col min="12" max="13" width="9.140625" customWidth="1"/>
    <col min="14" max="14" width="0.140625" customWidth="1"/>
    <col min="15" max="16" width="9.140625" hidden="1" customWidth="1"/>
    <col min="17" max="17" width="9.28515625" hidden="1" customWidth="1"/>
    <col min="18" max="18" width="0.140625" hidden="1" customWidth="1"/>
    <col min="19" max="20" width="9.140625" hidden="1" customWidth="1"/>
    <col min="21" max="21" width="0.42578125" hidden="1" customWidth="1"/>
    <col min="22" max="22" width="9.140625" hidden="1" customWidth="1"/>
    <col min="23" max="23" width="0.42578125" hidden="1" customWidth="1"/>
    <col min="24" max="24" width="9.140625" hidden="1" customWidth="1"/>
  </cols>
  <sheetData>
    <row r="1" spans="1:24">
      <c r="A1" s="631"/>
      <c r="B1" s="631"/>
      <c r="C1" s="631"/>
      <c r="D1" s="632"/>
      <c r="E1" s="632"/>
      <c r="F1" s="631"/>
      <c r="G1" s="631"/>
      <c r="H1" s="631"/>
      <c r="I1" s="1729" t="s">
        <v>184</v>
      </c>
      <c r="J1" s="1729"/>
      <c r="K1" s="1729"/>
      <c r="L1" s="1700"/>
      <c r="M1" s="1700"/>
      <c r="N1" s="631"/>
      <c r="O1" s="631"/>
      <c r="P1" s="631"/>
      <c r="Q1" s="631"/>
      <c r="R1" s="632"/>
      <c r="S1" s="632"/>
      <c r="T1" s="1730"/>
      <c r="U1" s="1730"/>
      <c r="V1" s="1730"/>
      <c r="W1" s="1730"/>
      <c r="X1" s="1730"/>
    </row>
    <row r="2" spans="1:24">
      <c r="A2" s="631"/>
      <c r="B2" s="631"/>
      <c r="C2" s="631"/>
      <c r="D2" s="632"/>
      <c r="E2" s="632"/>
      <c r="F2" s="631"/>
      <c r="G2" s="631"/>
      <c r="H2" s="631"/>
      <c r="I2" s="1729" t="s">
        <v>185</v>
      </c>
      <c r="J2" s="1729"/>
      <c r="K2" s="1729"/>
      <c r="L2" s="1700"/>
      <c r="M2" s="1700"/>
      <c r="N2" s="631"/>
      <c r="O2" s="631"/>
      <c r="P2" s="631"/>
      <c r="Q2" s="631"/>
      <c r="R2" s="632"/>
      <c r="S2" s="632"/>
      <c r="T2" s="1730"/>
      <c r="U2" s="1730"/>
      <c r="V2" s="1730"/>
      <c r="W2" s="1730"/>
      <c r="X2" s="1730"/>
    </row>
    <row r="3" spans="1:24">
      <c r="A3" s="631"/>
      <c r="B3" s="631"/>
      <c r="C3" s="631"/>
      <c r="D3" s="632"/>
      <c r="E3" s="632"/>
      <c r="F3" s="631"/>
      <c r="G3" s="631"/>
      <c r="H3" s="631"/>
      <c r="I3" s="1729" t="s">
        <v>186</v>
      </c>
      <c r="J3" s="1729"/>
      <c r="K3" s="1729"/>
      <c r="L3" s="1700"/>
      <c r="M3" s="1700"/>
      <c r="N3" s="631"/>
      <c r="O3" s="631"/>
      <c r="P3" s="631"/>
      <c r="Q3" s="631"/>
      <c r="R3" s="632"/>
      <c r="S3" s="632"/>
      <c r="T3" s="1730"/>
      <c r="U3" s="1730"/>
      <c r="V3" s="1730"/>
      <c r="W3" s="1730"/>
      <c r="X3" s="1730"/>
    </row>
    <row r="4" spans="1:24">
      <c r="A4" s="631"/>
      <c r="B4" s="631"/>
      <c r="C4" s="631"/>
      <c r="D4" s="632"/>
      <c r="E4" s="632"/>
      <c r="F4" s="631"/>
      <c r="G4" s="631"/>
      <c r="H4" s="631"/>
      <c r="I4" s="1729" t="s">
        <v>187</v>
      </c>
      <c r="J4" s="1729"/>
      <c r="K4" s="1729"/>
      <c r="L4" s="1700"/>
      <c r="M4" s="1700"/>
      <c r="N4" s="631"/>
      <c r="O4" s="631"/>
      <c r="P4" s="631"/>
      <c r="Q4" s="631"/>
      <c r="R4" s="632"/>
      <c r="S4" s="632"/>
      <c r="T4" s="1730"/>
      <c r="U4" s="1730"/>
      <c r="V4" s="1730"/>
      <c r="W4" s="1730"/>
      <c r="X4" s="1730"/>
    </row>
    <row r="5" spans="1:24">
      <c r="A5" s="631"/>
      <c r="B5" s="631"/>
      <c r="C5" s="631"/>
      <c r="D5" s="632"/>
      <c r="E5" s="632"/>
      <c r="F5" s="631"/>
      <c r="G5" s="631"/>
      <c r="H5" s="631"/>
      <c r="I5" s="1729" t="s">
        <v>210</v>
      </c>
      <c r="J5" s="1729"/>
      <c r="K5" s="1729"/>
      <c r="L5" s="1729"/>
      <c r="M5" s="1729"/>
      <c r="N5" s="631"/>
      <c r="O5" s="631"/>
      <c r="P5" s="631"/>
      <c r="Q5" s="631"/>
      <c r="R5" s="632"/>
      <c r="S5" s="632"/>
      <c r="T5" s="1730"/>
      <c r="U5" s="1730"/>
      <c r="V5" s="1730"/>
      <c r="W5" s="1730"/>
      <c r="X5" s="1730"/>
    </row>
    <row r="6" spans="1:24">
      <c r="A6" s="1731" t="s">
        <v>315</v>
      </c>
      <c r="B6" s="1731"/>
      <c r="C6" s="1731"/>
      <c r="D6" s="1731"/>
      <c r="E6" s="1731"/>
      <c r="F6" s="1731"/>
      <c r="G6" s="1731"/>
      <c r="H6" s="1731"/>
      <c r="I6" s="1731"/>
      <c r="J6" s="1731"/>
      <c r="K6" s="1731"/>
      <c r="L6" s="1731"/>
      <c r="M6" s="1731"/>
      <c r="N6" s="634"/>
      <c r="O6" s="634"/>
      <c r="P6" s="634"/>
      <c r="Q6" s="634"/>
      <c r="R6" s="634"/>
      <c r="S6" s="634"/>
      <c r="T6" s="634"/>
      <c r="U6" s="631"/>
      <c r="V6" s="631"/>
      <c r="W6" s="631"/>
      <c r="X6" s="631"/>
    </row>
    <row r="7" spans="1:24">
      <c r="A7" s="1701"/>
      <c r="B7" s="1701"/>
      <c r="C7" s="1701"/>
      <c r="D7" s="1701"/>
      <c r="E7" s="1701"/>
      <c r="F7" s="1701"/>
      <c r="G7" s="1701"/>
      <c r="H7" s="1701"/>
      <c r="I7" s="1701"/>
      <c r="J7" s="1701"/>
      <c r="K7" s="1701"/>
      <c r="L7" s="1701"/>
      <c r="M7" s="1701"/>
      <c r="N7" s="634"/>
      <c r="O7" s="634"/>
      <c r="P7" s="634"/>
      <c r="Q7" s="634"/>
      <c r="R7" s="634"/>
      <c r="S7" s="634"/>
      <c r="T7" s="634"/>
      <c r="U7" s="631"/>
      <c r="V7" s="631"/>
      <c r="W7" s="631"/>
      <c r="X7" s="631"/>
    </row>
    <row r="8" spans="1:24">
      <c r="A8" s="1701"/>
      <c r="B8" s="1701"/>
      <c r="C8" s="1701"/>
      <c r="D8" s="1701"/>
      <c r="E8" s="1701"/>
      <c r="F8" s="1701"/>
      <c r="G8" s="1701"/>
      <c r="H8" s="1701"/>
      <c r="I8" s="1701"/>
      <c r="J8" s="1701"/>
      <c r="K8" s="1701"/>
      <c r="L8" s="1701"/>
      <c r="M8" s="1701"/>
      <c r="N8" s="634"/>
      <c r="O8" s="634"/>
      <c r="P8" s="634"/>
      <c r="Q8" s="634"/>
      <c r="R8" s="634"/>
      <c r="S8" s="634"/>
      <c r="T8" s="634"/>
      <c r="U8" s="631"/>
      <c r="V8" s="631"/>
      <c r="W8" s="631"/>
      <c r="X8" s="631"/>
    </row>
    <row r="9" spans="1:24">
      <c r="A9" s="1701"/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634"/>
      <c r="O9" s="634"/>
      <c r="P9" s="634"/>
      <c r="Q9" s="634"/>
      <c r="R9" s="634"/>
      <c r="S9" s="634"/>
      <c r="T9" s="634"/>
      <c r="U9" s="631"/>
      <c r="V9" s="631"/>
      <c r="W9" s="631"/>
      <c r="X9" s="631"/>
    </row>
    <row r="10" spans="1:24" ht="15.75" thickBot="1">
      <c r="A10" s="635" t="s">
        <v>190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6"/>
      <c r="P10" s="635"/>
      <c r="Q10" s="635"/>
      <c r="R10" s="635"/>
      <c r="S10" s="635"/>
      <c r="T10" s="635"/>
      <c r="U10" s="631"/>
      <c r="V10" s="631"/>
      <c r="W10" s="631"/>
      <c r="X10" s="631"/>
    </row>
    <row r="11" spans="1:24" ht="15.75" thickBot="1">
      <c r="A11" s="1738" t="s">
        <v>1</v>
      </c>
      <c r="B11" s="1739" t="s">
        <v>2</v>
      </c>
      <c r="C11" s="1740" t="s">
        <v>3</v>
      </c>
      <c r="D11" s="1742" t="s">
        <v>192</v>
      </c>
      <c r="E11" s="1727" t="s">
        <v>5</v>
      </c>
      <c r="F11" s="1727"/>
      <c r="G11" s="1727"/>
      <c r="H11" s="1727"/>
      <c r="I11" s="1727"/>
      <c r="J11" s="1727"/>
      <c r="K11" s="1727"/>
      <c r="L11" s="1727"/>
      <c r="M11" s="1727"/>
      <c r="N11" s="1727"/>
      <c r="O11" s="1727"/>
      <c r="P11" s="1727"/>
      <c r="Q11" s="1727"/>
      <c r="R11" s="1722" t="s">
        <v>6</v>
      </c>
      <c r="S11" s="1722"/>
      <c r="T11" s="1722"/>
      <c r="U11" s="1722" t="s">
        <v>7</v>
      </c>
      <c r="V11" s="1722"/>
      <c r="W11" s="1727" t="s">
        <v>8</v>
      </c>
      <c r="X11" s="1727"/>
    </row>
    <row r="12" spans="1:24" ht="33.75" customHeight="1" thickTop="1" thickBot="1">
      <c r="A12" s="1738"/>
      <c r="B12" s="1739"/>
      <c r="C12" s="1740"/>
      <c r="D12" s="1742"/>
      <c r="E12" s="1727" t="s">
        <v>9</v>
      </c>
      <c r="F12" s="1727"/>
      <c r="G12" s="1727"/>
      <c r="H12" s="1727" t="s">
        <v>10</v>
      </c>
      <c r="I12" s="1727"/>
      <c r="J12" s="1727"/>
      <c r="K12" s="1727" t="s">
        <v>11</v>
      </c>
      <c r="L12" s="1727"/>
      <c r="M12" s="1727"/>
      <c r="N12" s="1727" t="s">
        <v>12</v>
      </c>
      <c r="O12" s="1727"/>
      <c r="P12" s="1727" t="s">
        <v>13</v>
      </c>
      <c r="Q12" s="1727"/>
      <c r="R12" s="1722"/>
      <c r="S12" s="1722"/>
      <c r="T12" s="1722"/>
      <c r="U12" s="1722"/>
      <c r="V12" s="1722"/>
      <c r="W12" s="1727"/>
      <c r="X12" s="1727"/>
    </row>
    <row r="13" spans="1:24" ht="54" thickTop="1" thickBot="1">
      <c r="A13" s="1738"/>
      <c r="B13" s="1739"/>
      <c r="C13" s="1740"/>
      <c r="D13" s="1742"/>
      <c r="E13" s="1704" t="s">
        <v>14</v>
      </c>
      <c r="F13" s="1702" t="s">
        <v>15</v>
      </c>
      <c r="G13" s="1702" t="s">
        <v>16</v>
      </c>
      <c r="H13" s="1313" t="s">
        <v>14</v>
      </c>
      <c r="I13" s="1703" t="s">
        <v>15</v>
      </c>
      <c r="J13" s="1703" t="s">
        <v>16</v>
      </c>
      <c r="K13" s="1704" t="s">
        <v>14</v>
      </c>
      <c r="L13" s="1703" t="s">
        <v>15</v>
      </c>
      <c r="M13" s="1703" t="s">
        <v>16</v>
      </c>
      <c r="N13" s="1704" t="s">
        <v>4</v>
      </c>
      <c r="O13" s="1702" t="s">
        <v>16</v>
      </c>
      <c r="P13" s="1704" t="s">
        <v>4</v>
      </c>
      <c r="Q13" s="643" t="s">
        <v>17</v>
      </c>
      <c r="R13" s="1704" t="s">
        <v>4</v>
      </c>
      <c r="S13" s="1702" t="s">
        <v>15</v>
      </c>
      <c r="T13" s="1702" t="s">
        <v>16</v>
      </c>
      <c r="U13" s="1704" t="s">
        <v>4</v>
      </c>
      <c r="V13" s="644" t="s">
        <v>18</v>
      </c>
      <c r="W13" s="1704" t="s">
        <v>4</v>
      </c>
      <c r="X13" s="644" t="s">
        <v>18</v>
      </c>
    </row>
    <row r="14" spans="1:24" ht="16.5" thickTop="1" thickBot="1">
      <c r="A14" s="1314" t="s">
        <v>19</v>
      </c>
      <c r="B14" s="1315" t="s">
        <v>20</v>
      </c>
      <c r="C14" s="1316" t="s">
        <v>21</v>
      </c>
      <c r="D14" s="1317">
        <f>D17+D24+D35+D37+D40+D42+D44+D52+D54+D56+D58</f>
        <v>1855.3200000000002</v>
      </c>
      <c r="E14" s="1317">
        <f>E17+E24+E35+E37+E40+E42+E44+E46+E48+E50+E52+E54+E56+E58+E60+E62+E64+E66+E68+E70+E72</f>
        <v>0</v>
      </c>
      <c r="F14" s="1317">
        <f>F17+F24+F35+F37+F40+F42+F44+F46+F48+F50+F52+F54+F56+F58+F60+F62+F64+F66+F68+F70+F72</f>
        <v>0</v>
      </c>
      <c r="G14" s="1317">
        <f>G17+G24+G35+G37+G40+G42+G44+G46+G48+G50+G52+G54+G56+G58+G60+G62+G64+G66+G68+G70+G72</f>
        <v>0</v>
      </c>
      <c r="H14" s="1317">
        <f>I14+J14</f>
        <v>1804.8109999999999</v>
      </c>
      <c r="I14" s="1317">
        <f>I17+I24+I35+I37+I42+I44+I52+I54+I56+I58+I40</f>
        <v>1245.1469999999999</v>
      </c>
      <c r="J14" s="1317">
        <f>J35+J52+J56+J58</f>
        <v>559.66399999999999</v>
      </c>
      <c r="K14" s="1317">
        <f>L14</f>
        <v>50.509</v>
      </c>
      <c r="L14" s="1317">
        <f>L35+L56</f>
        <v>50.509</v>
      </c>
      <c r="M14" s="1317"/>
      <c r="N14" s="1318">
        <v>0</v>
      </c>
      <c r="O14" s="1319">
        <v>0</v>
      </c>
      <c r="P14" s="1319">
        <v>0</v>
      </c>
      <c r="Q14" s="1319">
        <v>0</v>
      </c>
      <c r="R14" s="1319">
        <v>0</v>
      </c>
      <c r="S14" s="1319">
        <v>0</v>
      </c>
      <c r="T14" s="1319">
        <v>0</v>
      </c>
      <c r="U14" s="1319">
        <v>0</v>
      </c>
      <c r="V14" s="1319">
        <v>0</v>
      </c>
      <c r="W14" s="1319">
        <v>0</v>
      </c>
      <c r="X14" s="1319">
        <v>0</v>
      </c>
    </row>
    <row r="15" spans="1:24" ht="23.25" thickBot="1">
      <c r="A15" s="1744">
        <v>1</v>
      </c>
      <c r="B15" s="1320" t="s">
        <v>22</v>
      </c>
      <c r="C15" s="1321" t="s">
        <v>23</v>
      </c>
      <c r="D15" s="1317">
        <f t="shared" ref="D15:D72" si="0">H15+K15</f>
        <v>4</v>
      </c>
      <c r="E15" s="1317">
        <f>F15+G15</f>
        <v>0</v>
      </c>
      <c r="F15" s="1322"/>
      <c r="G15" s="1323"/>
      <c r="H15" s="1324">
        <f>I15+J15</f>
        <v>4</v>
      </c>
      <c r="I15" s="1126">
        <f>4</f>
        <v>4</v>
      </c>
      <c r="J15" s="1126"/>
      <c r="K15" s="1126">
        <f>L15</f>
        <v>0</v>
      </c>
      <c r="L15" s="1126"/>
      <c r="M15" s="1126"/>
      <c r="N15" s="1325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</row>
    <row r="16" spans="1:24" ht="15.75" thickBot="1">
      <c r="A16" s="1744"/>
      <c r="B16" s="833"/>
      <c r="C16" s="832" t="s">
        <v>24</v>
      </c>
      <c r="D16" s="1317">
        <f>D20+D18</f>
        <v>4.9000000000000002E-2</v>
      </c>
      <c r="E16" s="1317">
        <f t="shared" ref="E16:E79" si="1">F16+G16</f>
        <v>0</v>
      </c>
      <c r="F16" s="694">
        <f>F18+F20+F22</f>
        <v>0</v>
      </c>
      <c r="G16" s="694">
        <f>G18+G20+G22</f>
        <v>0</v>
      </c>
      <c r="H16" s="1324">
        <f t="shared" ref="H16:H20" si="2">I16</f>
        <v>4.9000000000000002E-2</v>
      </c>
      <c r="I16" s="781">
        <f>I20+I18</f>
        <v>4.9000000000000002E-2</v>
      </c>
      <c r="J16" s="781"/>
      <c r="K16" s="688">
        <v>0</v>
      </c>
      <c r="L16" s="688"/>
      <c r="M16" s="781"/>
      <c r="N16" s="782">
        <f t="shared" ref="N16:X17" si="3">N18+N20</f>
        <v>0</v>
      </c>
      <c r="O16" s="694">
        <f t="shared" si="3"/>
        <v>0</v>
      </c>
      <c r="P16" s="694">
        <f t="shared" si="3"/>
        <v>0</v>
      </c>
      <c r="Q16" s="694">
        <f t="shared" si="3"/>
        <v>0</v>
      </c>
      <c r="R16" s="694">
        <f t="shared" si="3"/>
        <v>0</v>
      </c>
      <c r="S16" s="694">
        <f t="shared" si="3"/>
        <v>0</v>
      </c>
      <c r="T16" s="694">
        <f t="shared" si="3"/>
        <v>0</v>
      </c>
      <c r="U16" s="694">
        <f t="shared" si="3"/>
        <v>0</v>
      </c>
      <c r="V16" s="694">
        <f t="shared" si="3"/>
        <v>0</v>
      </c>
      <c r="W16" s="694">
        <f t="shared" si="3"/>
        <v>0</v>
      </c>
      <c r="X16" s="694">
        <f t="shared" si="3"/>
        <v>0</v>
      </c>
    </row>
    <row r="17" spans="1:24" ht="15.75" thickBot="1">
      <c r="A17" s="1744"/>
      <c r="B17" s="852" t="s">
        <v>25</v>
      </c>
      <c r="C17" s="786" t="s">
        <v>21</v>
      </c>
      <c r="D17" s="1317">
        <f>K17+H17</f>
        <v>10.749000000000001</v>
      </c>
      <c r="E17" s="1317">
        <f t="shared" si="1"/>
        <v>0</v>
      </c>
      <c r="F17" s="698">
        <f>F19+F21</f>
        <v>0</v>
      </c>
      <c r="G17" s="1326">
        <f>G19+G21</f>
        <v>0</v>
      </c>
      <c r="H17" s="1324">
        <f t="shared" si="2"/>
        <v>10.749000000000001</v>
      </c>
      <c r="I17" s="781">
        <f>I21+I19</f>
        <v>10.749000000000001</v>
      </c>
      <c r="J17" s="781"/>
      <c r="K17" s="688">
        <v>0</v>
      </c>
      <c r="L17" s="688"/>
      <c r="M17" s="781"/>
      <c r="N17" s="714">
        <f t="shared" si="3"/>
        <v>0</v>
      </c>
      <c r="O17" s="698">
        <f t="shared" si="3"/>
        <v>0</v>
      </c>
      <c r="P17" s="698">
        <f t="shared" si="3"/>
        <v>0</v>
      </c>
      <c r="Q17" s="698">
        <f t="shared" si="3"/>
        <v>0</v>
      </c>
      <c r="R17" s="698">
        <f t="shared" si="3"/>
        <v>0</v>
      </c>
      <c r="S17" s="698">
        <f t="shared" si="3"/>
        <v>0</v>
      </c>
      <c r="T17" s="698">
        <f t="shared" si="3"/>
        <v>0</v>
      </c>
      <c r="U17" s="698">
        <f t="shared" si="3"/>
        <v>0</v>
      </c>
      <c r="V17" s="698">
        <f t="shared" si="3"/>
        <v>0</v>
      </c>
      <c r="W17" s="698">
        <f t="shared" si="3"/>
        <v>0</v>
      </c>
      <c r="X17" s="698">
        <f t="shared" si="3"/>
        <v>0</v>
      </c>
    </row>
    <row r="18" spans="1:24" ht="15.75" thickBot="1">
      <c r="A18" s="783" t="s">
        <v>26</v>
      </c>
      <c r="B18" s="788" t="s">
        <v>27</v>
      </c>
      <c r="C18" s="786" t="s">
        <v>24</v>
      </c>
      <c r="D18" s="1317">
        <f>K18+H18</f>
        <v>0.02</v>
      </c>
      <c r="E18" s="1317">
        <f t="shared" si="1"/>
        <v>0</v>
      </c>
      <c r="F18" s="699"/>
      <c r="G18" s="700"/>
      <c r="H18" s="1327">
        <f t="shared" si="2"/>
        <v>0.02</v>
      </c>
      <c r="I18" s="1328">
        <f>0.02</f>
        <v>0.02</v>
      </c>
      <c r="J18" s="688"/>
      <c r="K18" s="1329"/>
      <c r="L18" s="688"/>
      <c r="M18" s="688"/>
      <c r="N18" s="714">
        <f t="shared" ref="N18:N33" si="4">O18</f>
        <v>0</v>
      </c>
      <c r="O18" s="787"/>
      <c r="P18" s="1326">
        <f t="shared" ref="P18:P72" si="5">Q18</f>
        <v>0</v>
      </c>
      <c r="Q18" s="691"/>
      <c r="R18" s="701">
        <f t="shared" ref="R18:R72" si="6">S18+T18</f>
        <v>0</v>
      </c>
      <c r="S18" s="691"/>
      <c r="T18" s="691"/>
      <c r="U18" s="701">
        <f t="shared" ref="U18:U72" si="7">V18</f>
        <v>0</v>
      </c>
      <c r="V18" s="691"/>
      <c r="W18" s="701">
        <f t="shared" ref="W18:W40" si="8">X18</f>
        <v>0</v>
      </c>
      <c r="X18" s="691"/>
    </row>
    <row r="19" spans="1:24" ht="15.75" thickBot="1">
      <c r="A19" s="788"/>
      <c r="B19" s="788"/>
      <c r="C19" s="786" t="s">
        <v>21</v>
      </c>
      <c r="D19" s="1317">
        <f>K19+H19</f>
        <v>3.3090000000000002</v>
      </c>
      <c r="E19" s="1317">
        <f t="shared" si="1"/>
        <v>0</v>
      </c>
      <c r="F19" s="699"/>
      <c r="G19" s="700"/>
      <c r="H19" s="1324">
        <f t="shared" si="2"/>
        <v>3.3090000000000002</v>
      </c>
      <c r="I19" s="688">
        <f>3.309</f>
        <v>3.3090000000000002</v>
      </c>
      <c r="J19" s="688"/>
      <c r="K19" s="1329"/>
      <c r="L19" s="688"/>
      <c r="M19" s="688"/>
      <c r="N19" s="701">
        <f t="shared" si="4"/>
        <v>0</v>
      </c>
      <c r="O19" s="690"/>
      <c r="P19" s="701">
        <f t="shared" si="5"/>
        <v>0</v>
      </c>
      <c r="Q19" s="691"/>
      <c r="R19" s="701">
        <f t="shared" si="6"/>
        <v>0</v>
      </c>
      <c r="S19" s="691"/>
      <c r="T19" s="691"/>
      <c r="U19" s="701">
        <f t="shared" si="7"/>
        <v>0</v>
      </c>
      <c r="V19" s="691"/>
      <c r="W19" s="701">
        <f t="shared" si="8"/>
        <v>0</v>
      </c>
      <c r="X19" s="691"/>
    </row>
    <row r="20" spans="1:24" ht="15.75" thickBot="1">
      <c r="A20" s="788" t="s">
        <v>28</v>
      </c>
      <c r="B20" s="788" t="s">
        <v>29</v>
      </c>
      <c r="C20" s="786" t="s">
        <v>24</v>
      </c>
      <c r="D20" s="1317">
        <f>K20+H20</f>
        <v>2.9000000000000001E-2</v>
      </c>
      <c r="E20" s="1317">
        <f t="shared" si="1"/>
        <v>0</v>
      </c>
      <c r="F20" s="699"/>
      <c r="G20" s="700"/>
      <c r="H20" s="1324">
        <f t="shared" si="2"/>
        <v>2.9000000000000001E-2</v>
      </c>
      <c r="I20" s="789">
        <f>0.029</f>
        <v>2.9000000000000001E-2</v>
      </c>
      <c r="J20" s="688"/>
      <c r="K20" s="688">
        <v>0</v>
      </c>
      <c r="L20" s="688"/>
      <c r="M20" s="688"/>
      <c r="N20" s="701">
        <f t="shared" si="4"/>
        <v>0</v>
      </c>
      <c r="O20" s="690"/>
      <c r="P20" s="701">
        <f t="shared" si="5"/>
        <v>0</v>
      </c>
      <c r="Q20" s="691"/>
      <c r="R20" s="701">
        <f t="shared" si="6"/>
        <v>0</v>
      </c>
      <c r="S20" s="691"/>
      <c r="T20" s="691"/>
      <c r="U20" s="701">
        <f t="shared" si="7"/>
        <v>0</v>
      </c>
      <c r="V20" s="691"/>
      <c r="W20" s="701">
        <f t="shared" si="8"/>
        <v>0</v>
      </c>
      <c r="X20" s="691"/>
    </row>
    <row r="21" spans="1:24" ht="15.75" thickBot="1">
      <c r="A21" s="709"/>
      <c r="B21" s="709"/>
      <c r="C21" s="828" t="s">
        <v>21</v>
      </c>
      <c r="D21" s="1317">
        <f>K21+H21</f>
        <v>7.44</v>
      </c>
      <c r="E21" s="1317">
        <f t="shared" si="1"/>
        <v>0</v>
      </c>
      <c r="F21" s="727"/>
      <c r="G21" s="728"/>
      <c r="H21" s="1324">
        <f>7.44</f>
        <v>7.44</v>
      </c>
      <c r="I21" s="688">
        <f>7.44</f>
        <v>7.44</v>
      </c>
      <c r="J21" s="688"/>
      <c r="K21" s="688">
        <v>0</v>
      </c>
      <c r="L21" s="688"/>
      <c r="M21" s="688"/>
      <c r="N21" s="864">
        <f t="shared" si="4"/>
        <v>0</v>
      </c>
      <c r="O21" s="690"/>
      <c r="P21" s="864">
        <f t="shared" si="5"/>
        <v>0</v>
      </c>
      <c r="Q21" s="691"/>
      <c r="R21" s="864">
        <f t="shared" si="6"/>
        <v>0</v>
      </c>
      <c r="S21" s="691"/>
      <c r="T21" s="691"/>
      <c r="U21" s="864">
        <f t="shared" si="7"/>
        <v>0</v>
      </c>
      <c r="V21" s="691"/>
      <c r="W21" s="864">
        <f t="shared" si="8"/>
        <v>0</v>
      </c>
      <c r="X21" s="691"/>
    </row>
    <row r="22" spans="1:24" ht="15.75" thickBot="1">
      <c r="A22" s="684" t="s">
        <v>30</v>
      </c>
      <c r="B22" s="684" t="s">
        <v>31</v>
      </c>
      <c r="C22" s="816" t="s">
        <v>21</v>
      </c>
      <c r="D22" s="1317">
        <f t="shared" si="0"/>
        <v>0</v>
      </c>
      <c r="E22" s="1317">
        <f t="shared" si="1"/>
        <v>0</v>
      </c>
      <c r="F22" s="686">
        <v>0</v>
      </c>
      <c r="G22" s="687">
        <v>0</v>
      </c>
      <c r="H22" s="1324"/>
      <c r="I22" s="688"/>
      <c r="J22" s="688"/>
      <c r="K22" s="1329"/>
      <c r="L22" s="688"/>
      <c r="M22" s="688"/>
      <c r="N22" s="689">
        <f t="shared" si="4"/>
        <v>0</v>
      </c>
      <c r="O22" s="690"/>
      <c r="P22" s="689">
        <f t="shared" si="5"/>
        <v>0</v>
      </c>
      <c r="Q22" s="691"/>
      <c r="R22" s="689">
        <f t="shared" si="6"/>
        <v>0</v>
      </c>
      <c r="S22" s="691"/>
      <c r="T22" s="691"/>
      <c r="U22" s="689">
        <f t="shared" si="7"/>
        <v>0</v>
      </c>
      <c r="V22" s="691"/>
      <c r="W22" s="689">
        <f t="shared" si="8"/>
        <v>0</v>
      </c>
      <c r="X22" s="691"/>
    </row>
    <row r="23" spans="1:24" ht="15.75" thickBot="1">
      <c r="A23" s="1330">
        <v>2</v>
      </c>
      <c r="B23" s="692" t="s">
        <v>32</v>
      </c>
      <c r="C23" s="809" t="s">
        <v>33</v>
      </c>
      <c r="D23" s="1317">
        <f>H23+K23</f>
        <v>1</v>
      </c>
      <c r="E23" s="1317">
        <f t="shared" si="1"/>
        <v>0</v>
      </c>
      <c r="F23" s="1331"/>
      <c r="G23" s="1332"/>
      <c r="H23" s="1324">
        <f t="shared" ref="H23:H28" si="9">I23</f>
        <v>1</v>
      </c>
      <c r="I23" s="1331">
        <f>1</f>
        <v>1</v>
      </c>
      <c r="J23" s="1331"/>
      <c r="K23" s="1317"/>
      <c r="L23" s="1331"/>
      <c r="M23" s="1331"/>
      <c r="N23" s="1333">
        <f t="shared" si="4"/>
        <v>0</v>
      </c>
      <c r="O23" s="690"/>
      <c r="P23" s="1333">
        <f t="shared" si="5"/>
        <v>0</v>
      </c>
      <c r="Q23" s="691"/>
      <c r="R23" s="1333">
        <f t="shared" si="6"/>
        <v>0</v>
      </c>
      <c r="S23" s="691"/>
      <c r="T23" s="691"/>
      <c r="U23" s="1333">
        <f t="shared" si="7"/>
        <v>0</v>
      </c>
      <c r="V23" s="691"/>
      <c r="W23" s="1333">
        <f t="shared" si="8"/>
        <v>0</v>
      </c>
      <c r="X23" s="691"/>
    </row>
    <row r="24" spans="1:24" ht="15.75" thickBot="1">
      <c r="A24" s="695"/>
      <c r="B24" s="696" t="s">
        <v>34</v>
      </c>
      <c r="C24" s="1334" t="s">
        <v>21</v>
      </c>
      <c r="D24" s="1317">
        <f t="shared" si="0"/>
        <v>81.304000000000002</v>
      </c>
      <c r="E24" s="1317">
        <f t="shared" si="1"/>
        <v>0</v>
      </c>
      <c r="F24" s="699"/>
      <c r="G24" s="700"/>
      <c r="H24" s="1317">
        <f t="shared" si="9"/>
        <v>81.304000000000002</v>
      </c>
      <c r="I24" s="699">
        <f>I26+I33</f>
        <v>81.304000000000002</v>
      </c>
      <c r="J24" s="699"/>
      <c r="K24" s="1317"/>
      <c r="L24" s="699"/>
      <c r="M24" s="699"/>
      <c r="N24" s="701">
        <f t="shared" si="4"/>
        <v>0</v>
      </c>
      <c r="O24" s="690"/>
      <c r="P24" s="701">
        <f t="shared" si="5"/>
        <v>0</v>
      </c>
      <c r="Q24" s="691"/>
      <c r="R24" s="701">
        <f t="shared" si="6"/>
        <v>0</v>
      </c>
      <c r="S24" s="691"/>
      <c r="T24" s="691"/>
      <c r="U24" s="701">
        <f t="shared" si="7"/>
        <v>0</v>
      </c>
      <c r="V24" s="691"/>
      <c r="W24" s="701">
        <f t="shared" si="8"/>
        <v>0</v>
      </c>
      <c r="X24" s="691"/>
    </row>
    <row r="25" spans="1:24" ht="15.75" thickBot="1">
      <c r="A25" s="702" t="s">
        <v>35</v>
      </c>
      <c r="B25" s="692" t="s">
        <v>36</v>
      </c>
      <c r="C25" s="809" t="s">
        <v>37</v>
      </c>
      <c r="D25" s="1317">
        <f t="shared" si="0"/>
        <v>18.128</v>
      </c>
      <c r="E25" s="1317">
        <f t="shared" si="1"/>
        <v>0</v>
      </c>
      <c r="F25" s="699"/>
      <c r="G25" s="700"/>
      <c r="H25" s="1317">
        <f t="shared" si="9"/>
        <v>18.128</v>
      </c>
      <c r="I25" s="699">
        <f>18.128</f>
        <v>18.128</v>
      </c>
      <c r="J25" s="699"/>
      <c r="K25" s="1317"/>
      <c r="L25" s="699"/>
      <c r="M25" s="699"/>
      <c r="N25" s="701">
        <f t="shared" si="4"/>
        <v>0</v>
      </c>
      <c r="O25" s="690"/>
      <c r="P25" s="701">
        <f t="shared" si="5"/>
        <v>0</v>
      </c>
      <c r="Q25" s="691"/>
      <c r="R25" s="701">
        <f t="shared" si="6"/>
        <v>0</v>
      </c>
      <c r="S25" s="691"/>
      <c r="T25" s="691"/>
      <c r="U25" s="701">
        <f t="shared" si="7"/>
        <v>0</v>
      </c>
      <c r="V25" s="691"/>
      <c r="W25" s="701">
        <f t="shared" si="8"/>
        <v>0</v>
      </c>
      <c r="X25" s="691"/>
    </row>
    <row r="26" spans="1:24" ht="15.75" thickBot="1">
      <c r="A26" s="702"/>
      <c r="B26" s="692"/>
      <c r="C26" s="809" t="s">
        <v>21</v>
      </c>
      <c r="D26" s="1317">
        <f t="shared" si="0"/>
        <v>77.641000000000005</v>
      </c>
      <c r="E26" s="1317">
        <f t="shared" si="1"/>
        <v>0</v>
      </c>
      <c r="F26" s="699"/>
      <c r="G26" s="700"/>
      <c r="H26" s="1317">
        <f t="shared" si="9"/>
        <v>77.641000000000005</v>
      </c>
      <c r="I26" s="699">
        <f>77.641</f>
        <v>77.641000000000005</v>
      </c>
      <c r="J26" s="699"/>
      <c r="K26" s="1317"/>
      <c r="L26" s="699"/>
      <c r="M26" s="699"/>
      <c r="N26" s="701">
        <f t="shared" si="4"/>
        <v>0</v>
      </c>
      <c r="O26" s="690"/>
      <c r="P26" s="701">
        <f t="shared" si="5"/>
        <v>0</v>
      </c>
      <c r="Q26" s="691"/>
      <c r="R26" s="701">
        <f t="shared" si="6"/>
        <v>0</v>
      </c>
      <c r="S26" s="691"/>
      <c r="T26" s="691"/>
      <c r="U26" s="701">
        <f t="shared" si="7"/>
        <v>0</v>
      </c>
      <c r="V26" s="691"/>
      <c r="W26" s="701">
        <f t="shared" si="8"/>
        <v>0</v>
      </c>
      <c r="X26" s="691"/>
    </row>
    <row r="27" spans="1:24" ht="23.25" thickBot="1">
      <c r="A27" s="703" t="s">
        <v>38</v>
      </c>
      <c r="B27" s="868" t="s">
        <v>39</v>
      </c>
      <c r="C27" s="845" t="s">
        <v>40</v>
      </c>
      <c r="D27" s="1317">
        <f t="shared" si="0"/>
        <v>0</v>
      </c>
      <c r="E27" s="1317">
        <f t="shared" si="1"/>
        <v>0</v>
      </c>
      <c r="F27" s="699"/>
      <c r="G27" s="700"/>
      <c r="H27" s="1317">
        <f t="shared" si="9"/>
        <v>0</v>
      </c>
      <c r="I27" s="699"/>
      <c r="J27" s="699"/>
      <c r="K27" s="1317"/>
      <c r="L27" s="699"/>
      <c r="M27" s="699"/>
      <c r="N27" s="701">
        <f t="shared" si="4"/>
        <v>0</v>
      </c>
      <c r="O27" s="690"/>
      <c r="P27" s="701">
        <f t="shared" si="5"/>
        <v>0</v>
      </c>
      <c r="Q27" s="691"/>
      <c r="R27" s="701">
        <f t="shared" si="6"/>
        <v>0</v>
      </c>
      <c r="S27" s="691"/>
      <c r="T27" s="691"/>
      <c r="U27" s="701">
        <f t="shared" si="7"/>
        <v>0</v>
      </c>
      <c r="V27" s="691"/>
      <c r="W27" s="701">
        <f t="shared" si="8"/>
        <v>0</v>
      </c>
      <c r="X27" s="691"/>
    </row>
    <row r="28" spans="1:24" ht="15.75" thickBot="1">
      <c r="A28" s="695"/>
      <c r="B28" s="869" t="s">
        <v>41</v>
      </c>
      <c r="C28" s="1334" t="s">
        <v>21</v>
      </c>
      <c r="D28" s="1317">
        <f t="shared" si="0"/>
        <v>0</v>
      </c>
      <c r="E28" s="1317">
        <f t="shared" si="1"/>
        <v>0</v>
      </c>
      <c r="F28" s="699"/>
      <c r="G28" s="700"/>
      <c r="H28" s="1317">
        <f t="shared" si="9"/>
        <v>0</v>
      </c>
      <c r="I28" s="699"/>
      <c r="J28" s="699"/>
      <c r="K28" s="1317"/>
      <c r="L28" s="699"/>
      <c r="M28" s="699"/>
      <c r="N28" s="701">
        <f t="shared" si="4"/>
        <v>0</v>
      </c>
      <c r="O28" s="690"/>
      <c r="P28" s="701">
        <f t="shared" si="5"/>
        <v>0</v>
      </c>
      <c r="Q28" s="691"/>
      <c r="R28" s="701">
        <f t="shared" si="6"/>
        <v>0</v>
      </c>
      <c r="S28" s="691"/>
      <c r="T28" s="691"/>
      <c r="U28" s="701">
        <f t="shared" si="7"/>
        <v>0</v>
      </c>
      <c r="V28" s="691"/>
      <c r="W28" s="701">
        <f t="shared" si="8"/>
        <v>0</v>
      </c>
      <c r="X28" s="691"/>
    </row>
    <row r="29" spans="1:24" ht="15.75" thickBot="1">
      <c r="A29" s="703" t="s">
        <v>42</v>
      </c>
      <c r="B29" s="704" t="s">
        <v>43</v>
      </c>
      <c r="C29" s="845" t="s">
        <v>40</v>
      </c>
      <c r="D29" s="1317">
        <f t="shared" si="0"/>
        <v>0</v>
      </c>
      <c r="E29" s="1317">
        <f t="shared" si="1"/>
        <v>0</v>
      </c>
      <c r="F29" s="699"/>
      <c r="G29" s="700"/>
      <c r="H29" s="1317"/>
      <c r="I29" s="699"/>
      <c r="J29" s="699"/>
      <c r="K29" s="1317"/>
      <c r="L29" s="699"/>
      <c r="M29" s="699"/>
      <c r="N29" s="701">
        <f t="shared" si="4"/>
        <v>0</v>
      </c>
      <c r="O29" s="690"/>
      <c r="P29" s="701">
        <f t="shared" si="5"/>
        <v>0</v>
      </c>
      <c r="Q29" s="691"/>
      <c r="R29" s="701">
        <f t="shared" si="6"/>
        <v>0</v>
      </c>
      <c r="S29" s="691"/>
      <c r="T29" s="691"/>
      <c r="U29" s="701">
        <f t="shared" si="7"/>
        <v>0</v>
      </c>
      <c r="V29" s="691"/>
      <c r="W29" s="701">
        <f t="shared" si="8"/>
        <v>0</v>
      </c>
      <c r="X29" s="691"/>
    </row>
    <row r="30" spans="1:24" ht="15.75" thickBot="1">
      <c r="A30" s="695"/>
      <c r="B30" s="696" t="s">
        <v>44</v>
      </c>
      <c r="C30" s="1334" t="s">
        <v>21</v>
      </c>
      <c r="D30" s="1317">
        <f t="shared" si="0"/>
        <v>0</v>
      </c>
      <c r="E30" s="1317">
        <f t="shared" si="1"/>
        <v>0</v>
      </c>
      <c r="F30" s="699"/>
      <c r="G30" s="700"/>
      <c r="H30" s="1317"/>
      <c r="I30" s="699"/>
      <c r="J30" s="699"/>
      <c r="K30" s="1317"/>
      <c r="L30" s="699"/>
      <c r="M30" s="699"/>
      <c r="N30" s="701">
        <f t="shared" si="4"/>
        <v>0</v>
      </c>
      <c r="O30" s="690"/>
      <c r="P30" s="701">
        <f t="shared" si="5"/>
        <v>0</v>
      </c>
      <c r="Q30" s="691"/>
      <c r="R30" s="701">
        <f t="shared" si="6"/>
        <v>0</v>
      </c>
      <c r="S30" s="691"/>
      <c r="T30" s="691"/>
      <c r="U30" s="701">
        <f t="shared" si="7"/>
        <v>0</v>
      </c>
      <c r="V30" s="691"/>
      <c r="W30" s="701">
        <f t="shared" si="8"/>
        <v>0</v>
      </c>
      <c r="X30" s="691"/>
    </row>
    <row r="31" spans="1:24" ht="15.75" thickBot="1">
      <c r="A31" s="703" t="s">
        <v>45</v>
      </c>
      <c r="B31" s="704" t="s">
        <v>46</v>
      </c>
      <c r="C31" s="845" t="s">
        <v>47</v>
      </c>
      <c r="D31" s="1317">
        <f t="shared" si="0"/>
        <v>0</v>
      </c>
      <c r="E31" s="1317">
        <f t="shared" si="1"/>
        <v>0</v>
      </c>
      <c r="F31" s="699"/>
      <c r="G31" s="700"/>
      <c r="H31" s="1317"/>
      <c r="I31" s="699"/>
      <c r="J31" s="699"/>
      <c r="K31" s="1317"/>
      <c r="L31" s="699"/>
      <c r="M31" s="699"/>
      <c r="N31" s="701">
        <f t="shared" si="4"/>
        <v>0</v>
      </c>
      <c r="O31" s="690"/>
      <c r="P31" s="701">
        <f t="shared" si="5"/>
        <v>0</v>
      </c>
      <c r="Q31" s="691"/>
      <c r="R31" s="701">
        <f t="shared" si="6"/>
        <v>0</v>
      </c>
      <c r="S31" s="691"/>
      <c r="T31" s="691"/>
      <c r="U31" s="701">
        <f t="shared" si="7"/>
        <v>0</v>
      </c>
      <c r="V31" s="691"/>
      <c r="W31" s="701">
        <f t="shared" si="8"/>
        <v>0</v>
      </c>
      <c r="X31" s="691"/>
    </row>
    <row r="32" spans="1:24" ht="15.75" thickBot="1">
      <c r="A32" s="695"/>
      <c r="B32" s="696"/>
      <c r="C32" s="809" t="s">
        <v>21</v>
      </c>
      <c r="D32" s="1317">
        <f t="shared" si="0"/>
        <v>0</v>
      </c>
      <c r="E32" s="1317">
        <f t="shared" si="1"/>
        <v>0</v>
      </c>
      <c r="F32" s="699"/>
      <c r="G32" s="700"/>
      <c r="H32" s="1317"/>
      <c r="I32" s="699"/>
      <c r="J32" s="699"/>
      <c r="K32" s="1317"/>
      <c r="L32" s="699"/>
      <c r="M32" s="699"/>
      <c r="N32" s="701">
        <f t="shared" si="4"/>
        <v>0</v>
      </c>
      <c r="O32" s="690"/>
      <c r="P32" s="701">
        <f t="shared" si="5"/>
        <v>0</v>
      </c>
      <c r="Q32" s="691"/>
      <c r="R32" s="701">
        <f t="shared" si="6"/>
        <v>0</v>
      </c>
      <c r="S32" s="691"/>
      <c r="T32" s="691"/>
      <c r="U32" s="701">
        <f t="shared" si="7"/>
        <v>0</v>
      </c>
      <c r="V32" s="691"/>
      <c r="W32" s="701">
        <f t="shared" si="8"/>
        <v>0</v>
      </c>
      <c r="X32" s="691"/>
    </row>
    <row r="33" spans="1:24" ht="23.25" thickBot="1">
      <c r="A33" s="695" t="s">
        <v>48</v>
      </c>
      <c r="B33" s="706" t="s">
        <v>49</v>
      </c>
      <c r="C33" s="816" t="s">
        <v>21</v>
      </c>
      <c r="D33" s="1317">
        <f>H33</f>
        <v>3.6629999999999998</v>
      </c>
      <c r="E33" s="1317">
        <f t="shared" si="1"/>
        <v>0</v>
      </c>
      <c r="F33" s="699"/>
      <c r="G33" s="700"/>
      <c r="H33" s="1317">
        <f>I33</f>
        <v>3.6629999999999998</v>
      </c>
      <c r="I33" s="699">
        <f>3.663</f>
        <v>3.6629999999999998</v>
      </c>
      <c r="J33" s="699"/>
      <c r="K33" s="1317"/>
      <c r="L33" s="699"/>
      <c r="M33" s="699"/>
      <c r="N33" s="701">
        <f t="shared" si="4"/>
        <v>0</v>
      </c>
      <c r="O33" s="690"/>
      <c r="P33" s="701">
        <f t="shared" si="5"/>
        <v>0</v>
      </c>
      <c r="Q33" s="691"/>
      <c r="R33" s="701">
        <f t="shared" si="6"/>
        <v>0</v>
      </c>
      <c r="S33" s="691"/>
      <c r="T33" s="691"/>
      <c r="U33" s="701">
        <f t="shared" si="7"/>
        <v>0</v>
      </c>
      <c r="V33" s="691"/>
      <c r="W33" s="701">
        <f t="shared" si="8"/>
        <v>0</v>
      </c>
      <c r="X33" s="691"/>
    </row>
    <row r="34" spans="1:24" ht="15.75" thickBot="1">
      <c r="A34" s="707">
        <v>3</v>
      </c>
      <c r="B34" s="708" t="s">
        <v>50</v>
      </c>
      <c r="C34" s="832" t="s">
        <v>51</v>
      </c>
      <c r="D34" s="1317">
        <f>I34+L34</f>
        <v>0.48900000000000005</v>
      </c>
      <c r="E34" s="1317">
        <f t="shared" si="1"/>
        <v>0</v>
      </c>
      <c r="F34" s="699"/>
      <c r="G34" s="700"/>
      <c r="H34" s="1317">
        <f>I34+J34</f>
        <v>0.48600000000000004</v>
      </c>
      <c r="I34" s="699">
        <f>0.024+0.018+0.018+0.046+0.022+0.015+0.022+0.012+0.22+0.024</f>
        <v>0.42100000000000004</v>
      </c>
      <c r="J34" s="699">
        <f>0.03+0.035</f>
        <v>6.5000000000000002E-2</v>
      </c>
      <c r="K34" s="1317">
        <f>L34</f>
        <v>6.8000000000000005E-2</v>
      </c>
      <c r="L34" s="699">
        <f>0.022+0.022+0.024</f>
        <v>6.8000000000000005E-2</v>
      </c>
      <c r="M34" s="699"/>
      <c r="N34" s="701">
        <v>0</v>
      </c>
      <c r="O34" s="690"/>
      <c r="P34" s="701">
        <f t="shared" si="5"/>
        <v>0</v>
      </c>
      <c r="Q34" s="691"/>
      <c r="R34" s="701">
        <f t="shared" si="6"/>
        <v>0</v>
      </c>
      <c r="S34" s="691"/>
      <c r="T34" s="691"/>
      <c r="U34" s="701">
        <f t="shared" si="7"/>
        <v>0</v>
      </c>
      <c r="V34" s="691"/>
      <c r="W34" s="701">
        <f t="shared" si="8"/>
        <v>0</v>
      </c>
      <c r="X34" s="691"/>
    </row>
    <row r="35" spans="1:24" ht="15.75" thickBot="1">
      <c r="A35" s="709"/>
      <c r="B35" s="710" t="s">
        <v>52</v>
      </c>
      <c r="C35" s="828" t="s">
        <v>21</v>
      </c>
      <c r="D35" s="1317">
        <f>H35+K35</f>
        <v>271.54600000000005</v>
      </c>
      <c r="E35" s="1317">
        <f t="shared" si="1"/>
        <v>0</v>
      </c>
      <c r="F35" s="699"/>
      <c r="G35" s="700"/>
      <c r="H35" s="1317">
        <f>I35+J35</f>
        <v>234.28400000000002</v>
      </c>
      <c r="I35" s="699">
        <f>14.479+10.86+10.86+27.751+13.271+9.048+13.271+7.238+13.271+14.479</f>
        <v>134.52800000000002</v>
      </c>
      <c r="J35" s="699">
        <f>39.259+60.497</f>
        <v>99.756</v>
      </c>
      <c r="K35" s="1317">
        <f>L35</f>
        <v>37.262</v>
      </c>
      <c r="L35" s="699">
        <f>13.271+9.512+14.479</f>
        <v>37.262</v>
      </c>
      <c r="M35" s="699"/>
      <c r="N35" s="701">
        <v>0</v>
      </c>
      <c r="O35" s="690"/>
      <c r="P35" s="701">
        <f t="shared" si="5"/>
        <v>0</v>
      </c>
      <c r="Q35" s="691"/>
      <c r="R35" s="701">
        <f t="shared" si="6"/>
        <v>0</v>
      </c>
      <c r="S35" s="691"/>
      <c r="T35" s="691"/>
      <c r="U35" s="701">
        <f t="shared" si="7"/>
        <v>0</v>
      </c>
      <c r="V35" s="691"/>
      <c r="W35" s="701">
        <f t="shared" si="8"/>
        <v>0</v>
      </c>
      <c r="X35" s="691"/>
    </row>
    <row r="36" spans="1:24" ht="15.75" thickBot="1">
      <c r="A36" s="711">
        <v>4</v>
      </c>
      <c r="B36" s="712" t="s">
        <v>53</v>
      </c>
      <c r="C36" s="808" t="s">
        <v>24</v>
      </c>
      <c r="D36" s="1317">
        <f t="shared" si="0"/>
        <v>0.127</v>
      </c>
      <c r="E36" s="1317">
        <f t="shared" si="1"/>
        <v>0</v>
      </c>
      <c r="F36" s="699"/>
      <c r="G36" s="700"/>
      <c r="H36" s="1317">
        <f>I36</f>
        <v>0.127</v>
      </c>
      <c r="I36" s="699">
        <f>0.127</f>
        <v>0.127</v>
      </c>
      <c r="J36" s="699"/>
      <c r="K36" s="1317"/>
      <c r="L36" s="699"/>
      <c r="M36" s="699"/>
      <c r="N36" s="714">
        <f t="shared" ref="N36:N72" si="10">O36</f>
        <v>0</v>
      </c>
      <c r="O36" s="715"/>
      <c r="P36" s="698">
        <f t="shared" si="5"/>
        <v>0</v>
      </c>
      <c r="Q36" s="694"/>
      <c r="R36" s="698">
        <f t="shared" si="6"/>
        <v>0</v>
      </c>
      <c r="S36" s="694"/>
      <c r="T36" s="694"/>
      <c r="U36" s="698">
        <f t="shared" si="7"/>
        <v>0</v>
      </c>
      <c r="V36" s="694"/>
      <c r="W36" s="698">
        <f t="shared" si="8"/>
        <v>0</v>
      </c>
      <c r="X36" s="694"/>
    </row>
    <row r="37" spans="1:24" ht="15.75" thickBot="1">
      <c r="A37" s="716"/>
      <c r="B37" s="717"/>
      <c r="C37" s="790" t="s">
        <v>21</v>
      </c>
      <c r="D37" s="1317">
        <f t="shared" si="0"/>
        <v>32.783999999999999</v>
      </c>
      <c r="E37" s="1317">
        <f t="shared" si="1"/>
        <v>0</v>
      </c>
      <c r="F37" s="699"/>
      <c r="G37" s="700"/>
      <c r="H37" s="1317">
        <f>I37</f>
        <v>32.783999999999999</v>
      </c>
      <c r="I37" s="699">
        <f>32.784</f>
        <v>32.783999999999999</v>
      </c>
      <c r="J37" s="699"/>
      <c r="K37" s="1317"/>
      <c r="L37" s="699"/>
      <c r="M37" s="699"/>
      <c r="N37" s="714">
        <f t="shared" si="10"/>
        <v>0</v>
      </c>
      <c r="O37" s="719"/>
      <c r="P37" s="698">
        <f t="shared" si="5"/>
        <v>0</v>
      </c>
      <c r="Q37" s="720"/>
      <c r="R37" s="698">
        <f t="shared" si="6"/>
        <v>0</v>
      </c>
      <c r="S37" s="720"/>
      <c r="T37" s="720"/>
      <c r="U37" s="698">
        <f t="shared" si="7"/>
        <v>0</v>
      </c>
      <c r="V37" s="720"/>
      <c r="W37" s="698">
        <f t="shared" si="8"/>
        <v>0</v>
      </c>
      <c r="X37" s="720"/>
    </row>
    <row r="38" spans="1:24" ht="15.75" thickBot="1">
      <c r="A38" s="711">
        <v>5</v>
      </c>
      <c r="B38" s="712" t="s">
        <v>54</v>
      </c>
      <c r="C38" s="808" t="s">
        <v>24</v>
      </c>
      <c r="D38" s="1317">
        <f>H38</f>
        <v>2.5409999999999999</v>
      </c>
      <c r="E38" s="1317">
        <f t="shared" si="1"/>
        <v>0</v>
      </c>
      <c r="F38" s="699"/>
      <c r="G38" s="700"/>
      <c r="H38" s="699">
        <f>I38</f>
        <v>2.5409999999999999</v>
      </c>
      <c r="I38" s="699">
        <f>2.541</f>
        <v>2.5409999999999999</v>
      </c>
      <c r="J38" s="699"/>
      <c r="K38" s="699">
        <v>0</v>
      </c>
      <c r="L38" s="699"/>
      <c r="M38" s="699"/>
      <c r="N38" s="714">
        <f t="shared" si="10"/>
        <v>0</v>
      </c>
      <c r="O38" s="721"/>
      <c r="P38" s="698">
        <f t="shared" si="5"/>
        <v>0</v>
      </c>
      <c r="Q38" s="722"/>
      <c r="R38" s="698">
        <f t="shared" si="6"/>
        <v>0</v>
      </c>
      <c r="S38" s="722"/>
      <c r="T38" s="722"/>
      <c r="U38" s="698">
        <f t="shared" si="7"/>
        <v>0</v>
      </c>
      <c r="V38" s="722"/>
      <c r="W38" s="698">
        <f t="shared" si="8"/>
        <v>0</v>
      </c>
      <c r="X38" s="722"/>
    </row>
    <row r="39" spans="1:24" ht="15.75" thickBot="1">
      <c r="A39" s="723"/>
      <c r="B39" s="710" t="s">
        <v>55</v>
      </c>
      <c r="C39" s="786" t="s">
        <v>56</v>
      </c>
      <c r="D39" s="1317">
        <f t="shared" si="0"/>
        <v>5</v>
      </c>
      <c r="E39" s="1317">
        <f t="shared" si="1"/>
        <v>0</v>
      </c>
      <c r="F39" s="699"/>
      <c r="G39" s="700"/>
      <c r="H39" s="699">
        <f>I39</f>
        <v>5</v>
      </c>
      <c r="I39" s="699">
        <f>5</f>
        <v>5</v>
      </c>
      <c r="J39" s="699"/>
      <c r="K39" s="699">
        <f>L39</f>
        <v>0</v>
      </c>
      <c r="L39" s="699"/>
      <c r="M39" s="699"/>
      <c r="N39" s="714">
        <f t="shared" si="10"/>
        <v>0</v>
      </c>
      <c r="O39" s="715"/>
      <c r="P39" s="698">
        <f t="shared" si="5"/>
        <v>0</v>
      </c>
      <c r="Q39" s="724"/>
      <c r="R39" s="698">
        <f t="shared" si="6"/>
        <v>0</v>
      </c>
      <c r="S39" s="724"/>
      <c r="T39" s="724"/>
      <c r="U39" s="698">
        <f t="shared" si="7"/>
        <v>0</v>
      </c>
      <c r="V39" s="724"/>
      <c r="W39" s="698">
        <f t="shared" si="8"/>
        <v>0</v>
      </c>
      <c r="X39" s="724"/>
    </row>
    <row r="40" spans="1:24" ht="15.75" thickBot="1">
      <c r="A40" s="725"/>
      <c r="B40" s="692"/>
      <c r="C40" s="809" t="s">
        <v>21</v>
      </c>
      <c r="D40" s="1317">
        <f t="shared" si="0"/>
        <v>894.22199999999998</v>
      </c>
      <c r="E40" s="1317">
        <f t="shared" si="1"/>
        <v>0</v>
      </c>
      <c r="F40" s="727"/>
      <c r="G40" s="728"/>
      <c r="H40" s="699">
        <f>I40</f>
        <v>894.22199999999998</v>
      </c>
      <c r="I40" s="699">
        <f>894.222</f>
        <v>894.22199999999998</v>
      </c>
      <c r="J40" s="699"/>
      <c r="K40" s="699">
        <f>L40</f>
        <v>0</v>
      </c>
      <c r="L40" s="699"/>
      <c r="M40" s="699"/>
      <c r="N40" s="729">
        <f t="shared" si="10"/>
        <v>0</v>
      </c>
      <c r="O40" s="730"/>
      <c r="P40" s="726">
        <f t="shared" si="5"/>
        <v>0</v>
      </c>
      <c r="Q40" s="726"/>
      <c r="R40" s="726">
        <f t="shared" si="6"/>
        <v>0</v>
      </c>
      <c r="S40" s="726"/>
      <c r="T40" s="726"/>
      <c r="U40" s="726">
        <f t="shared" si="7"/>
        <v>0</v>
      </c>
      <c r="V40" s="726"/>
      <c r="W40" s="726">
        <f t="shared" si="8"/>
        <v>0</v>
      </c>
      <c r="X40" s="726"/>
    </row>
    <row r="41" spans="1:24" ht="21.75" thickBot="1">
      <c r="A41" s="731" t="s">
        <v>57</v>
      </c>
      <c r="B41" s="732" t="s">
        <v>58</v>
      </c>
      <c r="C41" s="808" t="s">
        <v>24</v>
      </c>
      <c r="D41" s="1317">
        <f>I41+L41</f>
        <v>3.5000000000000003E-2</v>
      </c>
      <c r="E41" s="1317">
        <f t="shared" si="1"/>
        <v>0</v>
      </c>
      <c r="F41" s="733"/>
      <c r="G41" s="734"/>
      <c r="H41" s="1317">
        <f t="shared" ref="H41:H46" si="11">I41</f>
        <v>3.5000000000000003E-2</v>
      </c>
      <c r="I41" s="699">
        <f>0.035</f>
        <v>3.5000000000000003E-2</v>
      </c>
      <c r="J41" s="699"/>
      <c r="K41" s="699"/>
      <c r="L41" s="699"/>
      <c r="M41" s="699"/>
      <c r="N41" s="735">
        <f t="shared" si="10"/>
        <v>0</v>
      </c>
      <c r="O41" s="736"/>
      <c r="P41" s="722">
        <f t="shared" si="5"/>
        <v>0</v>
      </c>
      <c r="Q41" s="737"/>
      <c r="R41" s="722">
        <f t="shared" si="6"/>
        <v>0</v>
      </c>
      <c r="S41" s="737"/>
      <c r="T41" s="737"/>
      <c r="U41" s="722">
        <f t="shared" si="7"/>
        <v>0</v>
      </c>
      <c r="V41" s="737"/>
      <c r="W41" s="722"/>
      <c r="X41" s="737"/>
    </row>
    <row r="42" spans="1:24" ht="15.75" thickBot="1">
      <c r="A42" s="738"/>
      <c r="B42" s="739"/>
      <c r="C42" s="1334" t="s">
        <v>21</v>
      </c>
      <c r="D42" s="1317">
        <f>I42+L42</f>
        <v>4.2880000000000003</v>
      </c>
      <c r="E42" s="1317">
        <f t="shared" si="1"/>
        <v>0</v>
      </c>
      <c r="F42" s="740"/>
      <c r="G42" s="741"/>
      <c r="H42" s="1317">
        <f t="shared" si="11"/>
        <v>4.2880000000000003</v>
      </c>
      <c r="I42" s="699">
        <f>4.288</f>
        <v>4.2880000000000003</v>
      </c>
      <c r="J42" s="699"/>
      <c r="K42" s="699"/>
      <c r="L42" s="699"/>
      <c r="M42" s="699"/>
      <c r="N42" s="742">
        <f t="shared" si="10"/>
        <v>0</v>
      </c>
      <c r="O42" s="715"/>
      <c r="P42" s="720">
        <f t="shared" si="5"/>
        <v>0</v>
      </c>
      <c r="Q42" s="724"/>
      <c r="R42" s="720">
        <f t="shared" si="6"/>
        <v>0</v>
      </c>
      <c r="S42" s="743"/>
      <c r="T42" s="743"/>
      <c r="U42" s="720">
        <f t="shared" si="7"/>
        <v>0</v>
      </c>
      <c r="V42" s="743"/>
      <c r="W42" s="720"/>
      <c r="X42" s="743"/>
    </row>
    <row r="43" spans="1:24" ht="21.75" thickBot="1">
      <c r="A43" s="744"/>
      <c r="B43" s="732" t="s">
        <v>59</v>
      </c>
      <c r="C43" s="808" t="s">
        <v>24</v>
      </c>
      <c r="D43" s="1317">
        <f t="shared" si="0"/>
        <v>3.15E-3</v>
      </c>
      <c r="E43" s="1317">
        <f t="shared" si="1"/>
        <v>0</v>
      </c>
      <c r="F43" s="733"/>
      <c r="G43" s="734"/>
      <c r="H43" s="699">
        <f t="shared" si="11"/>
        <v>3.15E-3</v>
      </c>
      <c r="I43" s="699">
        <f>0.00175+0.0014</f>
        <v>3.15E-3</v>
      </c>
      <c r="J43" s="699"/>
      <c r="K43" s="1317"/>
      <c r="L43" s="699"/>
      <c r="M43" s="699"/>
      <c r="N43" s="745">
        <f t="shared" si="10"/>
        <v>0</v>
      </c>
      <c r="O43" s="690"/>
      <c r="P43" s="745">
        <f t="shared" si="5"/>
        <v>0</v>
      </c>
      <c r="Q43" s="691"/>
      <c r="R43" s="735">
        <f t="shared" si="6"/>
        <v>0</v>
      </c>
      <c r="S43" s="737"/>
      <c r="T43" s="737"/>
      <c r="U43" s="722">
        <f t="shared" si="7"/>
        <v>0</v>
      </c>
      <c r="V43" s="737"/>
      <c r="W43" s="722"/>
      <c r="X43" s="737"/>
    </row>
    <row r="44" spans="1:24" ht="15.75" thickBot="1">
      <c r="A44" s="746"/>
      <c r="B44" s="739"/>
      <c r="C44" s="1334" t="s">
        <v>21</v>
      </c>
      <c r="D44" s="1317">
        <f t="shared" si="0"/>
        <v>4.4279999999999999</v>
      </c>
      <c r="E44" s="1317">
        <f t="shared" si="1"/>
        <v>0</v>
      </c>
      <c r="F44" s="740"/>
      <c r="G44" s="741"/>
      <c r="H44" s="699">
        <f t="shared" si="11"/>
        <v>4.4279999999999999</v>
      </c>
      <c r="I44" s="699">
        <f>2.46+1.968</f>
        <v>4.4279999999999999</v>
      </c>
      <c r="J44" s="699"/>
      <c r="K44" s="1317"/>
      <c r="L44" s="699"/>
      <c r="M44" s="699"/>
      <c r="N44" s="747">
        <f t="shared" si="10"/>
        <v>0</v>
      </c>
      <c r="O44" s="690"/>
      <c r="P44" s="747">
        <f t="shared" si="5"/>
        <v>0</v>
      </c>
      <c r="Q44" s="691"/>
      <c r="R44" s="742">
        <f t="shared" si="6"/>
        <v>0</v>
      </c>
      <c r="S44" s="743"/>
      <c r="T44" s="743"/>
      <c r="U44" s="720">
        <f t="shared" si="7"/>
        <v>0</v>
      </c>
      <c r="V44" s="743"/>
      <c r="W44" s="720"/>
      <c r="X44" s="743"/>
    </row>
    <row r="45" spans="1:24" ht="15.75" thickBot="1">
      <c r="A45" s="711">
        <v>7</v>
      </c>
      <c r="B45" s="712" t="s">
        <v>60</v>
      </c>
      <c r="C45" s="808" t="s">
        <v>47</v>
      </c>
      <c r="D45" s="1317">
        <f>I45+L45</f>
        <v>0</v>
      </c>
      <c r="E45" s="1317">
        <f t="shared" si="1"/>
        <v>0</v>
      </c>
      <c r="F45" s="699"/>
      <c r="G45" s="700"/>
      <c r="H45" s="1317">
        <f t="shared" si="11"/>
        <v>0</v>
      </c>
      <c r="I45" s="699"/>
      <c r="J45" s="699"/>
      <c r="K45" s="1317"/>
      <c r="L45" s="699"/>
      <c r="M45" s="699"/>
      <c r="N45" s="714">
        <f t="shared" si="10"/>
        <v>0</v>
      </c>
      <c r="O45" s="715"/>
      <c r="P45" s="698">
        <f t="shared" si="5"/>
        <v>0</v>
      </c>
      <c r="Q45" s="694"/>
      <c r="R45" s="698">
        <f t="shared" si="6"/>
        <v>0</v>
      </c>
      <c r="S45" s="722"/>
      <c r="T45" s="722"/>
      <c r="U45" s="698">
        <f t="shared" si="7"/>
        <v>0</v>
      </c>
      <c r="V45" s="722"/>
      <c r="W45" s="698">
        <f t="shared" ref="W45:W72" si="12">X45</f>
        <v>0</v>
      </c>
      <c r="X45" s="722"/>
    </row>
    <row r="46" spans="1:24" ht="15.75" thickBot="1">
      <c r="A46" s="717"/>
      <c r="B46" s="739" t="s">
        <v>61</v>
      </c>
      <c r="C46" s="790" t="s">
        <v>21</v>
      </c>
      <c r="D46" s="1317">
        <f>I46+L46</f>
        <v>0</v>
      </c>
      <c r="E46" s="1317">
        <f t="shared" si="1"/>
        <v>0</v>
      </c>
      <c r="F46" s="699"/>
      <c r="G46" s="700"/>
      <c r="H46" s="1317">
        <f t="shared" si="11"/>
        <v>0</v>
      </c>
      <c r="I46" s="699"/>
      <c r="J46" s="699"/>
      <c r="K46" s="1317"/>
      <c r="L46" s="699"/>
      <c r="M46" s="699"/>
      <c r="N46" s="714">
        <f t="shared" si="10"/>
        <v>0</v>
      </c>
      <c r="O46" s="719"/>
      <c r="P46" s="698">
        <f t="shared" si="5"/>
        <v>0</v>
      </c>
      <c r="Q46" s="720"/>
      <c r="R46" s="698">
        <f t="shared" si="6"/>
        <v>0</v>
      </c>
      <c r="S46" s="720"/>
      <c r="T46" s="720"/>
      <c r="U46" s="698">
        <f t="shared" si="7"/>
        <v>0</v>
      </c>
      <c r="V46" s="720"/>
      <c r="W46" s="698">
        <f t="shared" si="12"/>
        <v>0</v>
      </c>
      <c r="X46" s="720"/>
    </row>
    <row r="47" spans="1:24" ht="15.75" thickBot="1">
      <c r="A47" s="707">
        <v>8</v>
      </c>
      <c r="B47" s="708" t="s">
        <v>62</v>
      </c>
      <c r="C47" s="832" t="s">
        <v>47</v>
      </c>
      <c r="D47" s="1317">
        <f t="shared" si="0"/>
        <v>0</v>
      </c>
      <c r="E47" s="1317">
        <f t="shared" si="1"/>
        <v>0</v>
      </c>
      <c r="F47" s="699"/>
      <c r="G47" s="700"/>
      <c r="H47" s="1317"/>
      <c r="I47" s="699"/>
      <c r="J47" s="699"/>
      <c r="K47" s="1317"/>
      <c r="L47" s="699"/>
      <c r="M47" s="699"/>
      <c r="N47" s="714">
        <f t="shared" si="10"/>
        <v>0</v>
      </c>
      <c r="O47" s="715"/>
      <c r="P47" s="698">
        <f t="shared" si="5"/>
        <v>0</v>
      </c>
      <c r="Q47" s="722"/>
      <c r="R47" s="698">
        <f t="shared" si="6"/>
        <v>0</v>
      </c>
      <c r="S47" s="722"/>
      <c r="T47" s="722"/>
      <c r="U47" s="698">
        <f t="shared" si="7"/>
        <v>0</v>
      </c>
      <c r="V47" s="722"/>
      <c r="W47" s="698">
        <f t="shared" si="12"/>
        <v>0</v>
      </c>
      <c r="X47" s="722"/>
    </row>
    <row r="48" spans="1:24" ht="15.75" thickBot="1">
      <c r="A48" s="748"/>
      <c r="B48" s="749" t="s">
        <v>63</v>
      </c>
      <c r="C48" s="828" t="s">
        <v>21</v>
      </c>
      <c r="D48" s="1317">
        <f t="shared" si="0"/>
        <v>0</v>
      </c>
      <c r="E48" s="1317">
        <f t="shared" si="1"/>
        <v>0</v>
      </c>
      <c r="F48" s="699"/>
      <c r="G48" s="700"/>
      <c r="H48" s="1317"/>
      <c r="I48" s="699"/>
      <c r="J48" s="699"/>
      <c r="K48" s="1317"/>
      <c r="L48" s="699"/>
      <c r="M48" s="699"/>
      <c r="N48" s="714">
        <f t="shared" si="10"/>
        <v>0</v>
      </c>
      <c r="O48" s="730"/>
      <c r="P48" s="698">
        <f t="shared" si="5"/>
        <v>0</v>
      </c>
      <c r="Q48" s="720"/>
      <c r="R48" s="698">
        <f t="shared" si="6"/>
        <v>0</v>
      </c>
      <c r="S48" s="720"/>
      <c r="T48" s="720"/>
      <c r="U48" s="698">
        <f t="shared" si="7"/>
        <v>0</v>
      </c>
      <c r="V48" s="720"/>
      <c r="W48" s="698">
        <f t="shared" si="12"/>
        <v>0</v>
      </c>
      <c r="X48" s="720"/>
    </row>
    <row r="49" spans="1:24" ht="15.75" thickBot="1">
      <c r="A49" s="711">
        <v>9</v>
      </c>
      <c r="B49" s="712" t="s">
        <v>64</v>
      </c>
      <c r="C49" s="808" t="s">
        <v>51</v>
      </c>
      <c r="D49" s="1317">
        <f t="shared" si="0"/>
        <v>0</v>
      </c>
      <c r="E49" s="1317">
        <f t="shared" si="1"/>
        <v>0</v>
      </c>
      <c r="F49" s="699"/>
      <c r="G49" s="700"/>
      <c r="H49" s="1317"/>
      <c r="I49" s="699"/>
      <c r="J49" s="699"/>
      <c r="K49" s="1317"/>
      <c r="L49" s="699"/>
      <c r="M49" s="699"/>
      <c r="N49" s="714">
        <f t="shared" si="10"/>
        <v>0</v>
      </c>
      <c r="O49" s="736"/>
      <c r="P49" s="698">
        <f t="shared" si="5"/>
        <v>0</v>
      </c>
      <c r="Q49" s="722"/>
      <c r="R49" s="698">
        <f t="shared" si="6"/>
        <v>0</v>
      </c>
      <c r="S49" s="722"/>
      <c r="T49" s="722"/>
      <c r="U49" s="698">
        <f t="shared" si="7"/>
        <v>0</v>
      </c>
      <c r="V49" s="722"/>
      <c r="W49" s="698">
        <f t="shared" si="12"/>
        <v>0</v>
      </c>
      <c r="X49" s="722"/>
    </row>
    <row r="50" spans="1:24" ht="15.75" thickBot="1">
      <c r="A50" s="748"/>
      <c r="B50" s="709"/>
      <c r="C50" s="828" t="s">
        <v>21</v>
      </c>
      <c r="D50" s="1317">
        <f t="shared" si="0"/>
        <v>0</v>
      </c>
      <c r="E50" s="1317">
        <f t="shared" si="1"/>
        <v>0</v>
      </c>
      <c r="F50" s="699"/>
      <c r="G50" s="700"/>
      <c r="H50" s="1317"/>
      <c r="I50" s="699"/>
      <c r="J50" s="699"/>
      <c r="K50" s="1317"/>
      <c r="L50" s="699"/>
      <c r="M50" s="699"/>
      <c r="N50" s="714">
        <f t="shared" si="10"/>
        <v>0</v>
      </c>
      <c r="O50" s="730"/>
      <c r="P50" s="698">
        <f t="shared" si="5"/>
        <v>0</v>
      </c>
      <c r="Q50" s="720"/>
      <c r="R50" s="698">
        <f t="shared" si="6"/>
        <v>0</v>
      </c>
      <c r="S50" s="720"/>
      <c r="T50" s="720"/>
      <c r="U50" s="698">
        <f t="shared" si="7"/>
        <v>0</v>
      </c>
      <c r="V50" s="720"/>
      <c r="W50" s="698">
        <f t="shared" si="12"/>
        <v>0</v>
      </c>
      <c r="X50" s="720"/>
    </row>
    <row r="51" spans="1:24" ht="15.75" thickBot="1">
      <c r="A51" s="711">
        <v>10</v>
      </c>
      <c r="B51" s="712" t="s">
        <v>65</v>
      </c>
      <c r="C51" s="808" t="s">
        <v>47</v>
      </c>
      <c r="D51" s="1317">
        <f t="shared" si="0"/>
        <v>2</v>
      </c>
      <c r="E51" s="1317">
        <f t="shared" si="1"/>
        <v>0</v>
      </c>
      <c r="F51" s="699"/>
      <c r="G51" s="700"/>
      <c r="H51" s="1317">
        <f>I51+J51</f>
        <v>2</v>
      </c>
      <c r="I51" s="699">
        <f>1</f>
        <v>1</v>
      </c>
      <c r="J51" s="699">
        <f>1</f>
        <v>1</v>
      </c>
      <c r="K51" s="1317"/>
      <c r="L51" s="699"/>
      <c r="M51" s="699"/>
      <c r="N51" s="714">
        <f t="shared" si="10"/>
        <v>0</v>
      </c>
      <c r="O51" s="736"/>
      <c r="P51" s="698">
        <f t="shared" si="5"/>
        <v>0</v>
      </c>
      <c r="Q51" s="722"/>
      <c r="R51" s="698">
        <f t="shared" si="6"/>
        <v>0</v>
      </c>
      <c r="S51" s="722"/>
      <c r="T51" s="722"/>
      <c r="U51" s="698">
        <f t="shared" si="7"/>
        <v>0</v>
      </c>
      <c r="V51" s="722"/>
      <c r="W51" s="698">
        <f t="shared" si="12"/>
        <v>0</v>
      </c>
      <c r="X51" s="722"/>
    </row>
    <row r="52" spans="1:24" ht="15.75" thickBot="1">
      <c r="A52" s="750"/>
      <c r="B52" s="739" t="s">
        <v>66</v>
      </c>
      <c r="C52" s="790" t="s">
        <v>21</v>
      </c>
      <c r="D52" s="1317">
        <f>H52</f>
        <v>41.734000000000002</v>
      </c>
      <c r="E52" s="1317">
        <f t="shared" si="1"/>
        <v>0</v>
      </c>
      <c r="F52" s="699"/>
      <c r="G52" s="700"/>
      <c r="H52" s="1317">
        <f>I52+J52</f>
        <v>41.734000000000002</v>
      </c>
      <c r="I52" s="699">
        <f>11.734</f>
        <v>11.734</v>
      </c>
      <c r="J52" s="699">
        <v>30</v>
      </c>
      <c r="K52" s="1317"/>
      <c r="L52" s="699"/>
      <c r="M52" s="699"/>
      <c r="N52" s="714">
        <f t="shared" si="10"/>
        <v>0</v>
      </c>
      <c r="O52" s="719"/>
      <c r="P52" s="698">
        <f t="shared" si="5"/>
        <v>0</v>
      </c>
      <c r="Q52" s="720"/>
      <c r="R52" s="698">
        <f t="shared" si="6"/>
        <v>0</v>
      </c>
      <c r="S52" s="720"/>
      <c r="T52" s="720"/>
      <c r="U52" s="698">
        <f t="shared" si="7"/>
        <v>0</v>
      </c>
      <c r="V52" s="720"/>
      <c r="W52" s="698">
        <f t="shared" si="12"/>
        <v>0</v>
      </c>
      <c r="X52" s="720"/>
    </row>
    <row r="53" spans="1:24" ht="15.75" thickBot="1">
      <c r="A53" s="711">
        <v>11</v>
      </c>
      <c r="B53" s="712" t="s">
        <v>67</v>
      </c>
      <c r="C53" s="808" t="s">
        <v>47</v>
      </c>
      <c r="D53" s="1317">
        <f t="shared" si="0"/>
        <v>2</v>
      </c>
      <c r="E53" s="1317">
        <f t="shared" si="1"/>
        <v>0</v>
      </c>
      <c r="F53" s="699"/>
      <c r="G53" s="700"/>
      <c r="H53" s="1317">
        <f t="shared" ref="H53:H54" si="13">I53</f>
        <v>2</v>
      </c>
      <c r="I53" s="699">
        <f>2</f>
        <v>2</v>
      </c>
      <c r="J53" s="699"/>
      <c r="K53" s="1317"/>
      <c r="L53" s="699"/>
      <c r="M53" s="699"/>
      <c r="N53" s="714">
        <f t="shared" si="10"/>
        <v>0</v>
      </c>
      <c r="O53" s="736"/>
      <c r="P53" s="698">
        <f t="shared" si="5"/>
        <v>0</v>
      </c>
      <c r="Q53" s="722"/>
      <c r="R53" s="698">
        <f t="shared" si="6"/>
        <v>0</v>
      </c>
      <c r="S53" s="722"/>
      <c r="T53" s="722"/>
      <c r="U53" s="698">
        <f t="shared" si="7"/>
        <v>0</v>
      </c>
      <c r="V53" s="722"/>
      <c r="W53" s="698">
        <f t="shared" si="12"/>
        <v>0</v>
      </c>
      <c r="X53" s="722"/>
    </row>
    <row r="54" spans="1:24" ht="15.75" thickBot="1">
      <c r="A54" s="750"/>
      <c r="B54" s="717"/>
      <c r="C54" s="790" t="s">
        <v>21</v>
      </c>
      <c r="D54" s="1317">
        <f t="shared" si="0"/>
        <v>43.87</v>
      </c>
      <c r="E54" s="1317">
        <f t="shared" si="1"/>
        <v>0</v>
      </c>
      <c r="F54" s="699"/>
      <c r="G54" s="700"/>
      <c r="H54" s="1317">
        <f t="shared" si="13"/>
        <v>43.87</v>
      </c>
      <c r="I54" s="699">
        <f>43.87</f>
        <v>43.87</v>
      </c>
      <c r="J54" s="699"/>
      <c r="K54" s="1317"/>
      <c r="L54" s="699"/>
      <c r="M54" s="699"/>
      <c r="N54" s="714">
        <f t="shared" si="10"/>
        <v>0</v>
      </c>
      <c r="O54" s="719"/>
      <c r="P54" s="698">
        <f t="shared" si="5"/>
        <v>0</v>
      </c>
      <c r="Q54" s="720"/>
      <c r="R54" s="698">
        <f t="shared" si="6"/>
        <v>0</v>
      </c>
      <c r="S54" s="720"/>
      <c r="T54" s="720"/>
      <c r="U54" s="698">
        <f t="shared" si="7"/>
        <v>0</v>
      </c>
      <c r="V54" s="720"/>
      <c r="W54" s="698">
        <f t="shared" si="12"/>
        <v>0</v>
      </c>
      <c r="X54" s="720"/>
    </row>
    <row r="55" spans="1:24" ht="15.75" thickBot="1">
      <c r="A55" s="711">
        <v>12</v>
      </c>
      <c r="B55" s="712" t="s">
        <v>68</v>
      </c>
      <c r="C55" s="808" t="s">
        <v>47</v>
      </c>
      <c r="D55" s="1317">
        <f t="shared" si="0"/>
        <v>47</v>
      </c>
      <c r="E55" s="1317">
        <f t="shared" si="1"/>
        <v>0</v>
      </c>
      <c r="F55" s="699"/>
      <c r="G55" s="700"/>
      <c r="H55" s="1317">
        <f>I55+J55</f>
        <v>44</v>
      </c>
      <c r="I55" s="699">
        <f>1+4+4+1+1+1+1+1+2+1</f>
        <v>17</v>
      </c>
      <c r="J55" s="699">
        <f>27</f>
        <v>27</v>
      </c>
      <c r="K55" s="1317">
        <f>L55</f>
        <v>3</v>
      </c>
      <c r="L55" s="699">
        <f>1+1+1</f>
        <v>3</v>
      </c>
      <c r="M55" s="699"/>
      <c r="N55" s="714">
        <f t="shared" si="10"/>
        <v>0</v>
      </c>
      <c r="O55" s="736"/>
      <c r="P55" s="698">
        <f t="shared" si="5"/>
        <v>0</v>
      </c>
      <c r="Q55" s="722"/>
      <c r="R55" s="698">
        <f t="shared" si="6"/>
        <v>0</v>
      </c>
      <c r="S55" s="722"/>
      <c r="T55" s="722"/>
      <c r="U55" s="698">
        <f t="shared" si="7"/>
        <v>0</v>
      </c>
      <c r="V55" s="722"/>
      <c r="W55" s="698">
        <f t="shared" si="12"/>
        <v>0</v>
      </c>
      <c r="X55" s="722"/>
    </row>
    <row r="56" spans="1:24" ht="15.75" thickBot="1">
      <c r="A56" s="750"/>
      <c r="B56" s="739" t="s">
        <v>69</v>
      </c>
      <c r="C56" s="790" t="s">
        <v>21</v>
      </c>
      <c r="D56" s="1317">
        <f t="shared" si="0"/>
        <v>458.98400000000004</v>
      </c>
      <c r="E56" s="1317">
        <f t="shared" si="1"/>
        <v>0</v>
      </c>
      <c r="F56" s="699"/>
      <c r="G56" s="700"/>
      <c r="H56" s="1317">
        <f>I56+J56</f>
        <v>445.73700000000002</v>
      </c>
      <c r="I56" s="699">
        <f>1.81+3.844+3.844+2.325+2.221+1.814+1.81+1.81+4.328+2.931</f>
        <v>26.736999999999998</v>
      </c>
      <c r="J56" s="699">
        <f>419</f>
        <v>419</v>
      </c>
      <c r="K56" s="1317">
        <f>L56</f>
        <v>13.247</v>
      </c>
      <c r="L56" s="699">
        <f>7.119+1.801+4.327</f>
        <v>13.247</v>
      </c>
      <c r="M56" s="699"/>
      <c r="N56" s="714">
        <f t="shared" si="10"/>
        <v>0</v>
      </c>
      <c r="O56" s="719"/>
      <c r="P56" s="698">
        <f t="shared" si="5"/>
        <v>0</v>
      </c>
      <c r="Q56" s="720"/>
      <c r="R56" s="698">
        <f t="shared" si="6"/>
        <v>0</v>
      </c>
      <c r="S56" s="720"/>
      <c r="T56" s="720"/>
      <c r="U56" s="698">
        <f t="shared" si="7"/>
        <v>0</v>
      </c>
      <c r="V56" s="720"/>
      <c r="W56" s="698">
        <f t="shared" si="12"/>
        <v>0</v>
      </c>
      <c r="X56" s="720"/>
    </row>
    <row r="57" spans="1:24" ht="15.75" thickBot="1">
      <c r="A57" s="711">
        <v>14</v>
      </c>
      <c r="B57" s="871" t="s">
        <v>70</v>
      </c>
      <c r="C57" s="808" t="s">
        <v>24</v>
      </c>
      <c r="D57" s="1317">
        <f t="shared" si="0"/>
        <v>4.3E-3</v>
      </c>
      <c r="E57" s="1317">
        <f t="shared" si="1"/>
        <v>0</v>
      </c>
      <c r="F57" s="699"/>
      <c r="G57" s="700"/>
      <c r="H57" s="1317">
        <f>I57+J57</f>
        <v>4.3E-3</v>
      </c>
      <c r="I57" s="699">
        <f>0.0003</f>
        <v>2.9999999999999997E-4</v>
      </c>
      <c r="J57" s="699">
        <f>0.004</f>
        <v>4.0000000000000001E-3</v>
      </c>
      <c r="K57" s="1317"/>
      <c r="L57" s="699"/>
      <c r="M57" s="699"/>
      <c r="N57" s="714">
        <f t="shared" si="10"/>
        <v>0</v>
      </c>
      <c r="O57" s="721"/>
      <c r="P57" s="698">
        <f t="shared" si="5"/>
        <v>0</v>
      </c>
      <c r="Q57" s="722"/>
      <c r="R57" s="698">
        <f t="shared" si="6"/>
        <v>0</v>
      </c>
      <c r="S57" s="722"/>
      <c r="T57" s="722"/>
      <c r="U57" s="698">
        <f t="shared" si="7"/>
        <v>0</v>
      </c>
      <c r="V57" s="722"/>
      <c r="W57" s="698">
        <f t="shared" si="12"/>
        <v>0</v>
      </c>
      <c r="X57" s="722"/>
    </row>
    <row r="58" spans="1:24" ht="23.25" thickBot="1">
      <c r="A58" s="748"/>
      <c r="B58" s="872" t="s">
        <v>71</v>
      </c>
      <c r="C58" s="828" t="s">
        <v>21</v>
      </c>
      <c r="D58" s="1317">
        <f t="shared" si="0"/>
        <v>11.411</v>
      </c>
      <c r="E58" s="1317">
        <f t="shared" si="1"/>
        <v>0</v>
      </c>
      <c r="F58" s="699"/>
      <c r="G58" s="700"/>
      <c r="H58" s="1317">
        <f>I58+J58</f>
        <v>11.411</v>
      </c>
      <c r="I58" s="699">
        <f>0.503</f>
        <v>0.503</v>
      </c>
      <c r="J58" s="699">
        <f>10.908</f>
        <v>10.907999999999999</v>
      </c>
      <c r="K58" s="1317"/>
      <c r="L58" s="699"/>
      <c r="M58" s="699"/>
      <c r="N58" s="714">
        <f t="shared" si="10"/>
        <v>0</v>
      </c>
      <c r="O58" s="730"/>
      <c r="P58" s="698">
        <f t="shared" si="5"/>
        <v>0</v>
      </c>
      <c r="Q58" s="726"/>
      <c r="R58" s="698">
        <f t="shared" si="6"/>
        <v>0</v>
      </c>
      <c r="S58" s="726"/>
      <c r="T58" s="726"/>
      <c r="U58" s="698">
        <f t="shared" si="7"/>
        <v>0</v>
      </c>
      <c r="V58" s="726"/>
      <c r="W58" s="698">
        <f t="shared" si="12"/>
        <v>0</v>
      </c>
      <c r="X58" s="726"/>
    </row>
    <row r="59" spans="1:24" ht="23.25" thickBot="1">
      <c r="A59" s="751">
        <v>15</v>
      </c>
      <c r="B59" s="870" t="s">
        <v>72</v>
      </c>
      <c r="C59" s="808" t="s">
        <v>47</v>
      </c>
      <c r="D59" s="1317">
        <f t="shared" si="0"/>
        <v>0</v>
      </c>
      <c r="E59" s="1317">
        <f t="shared" si="1"/>
        <v>0</v>
      </c>
      <c r="F59" s="699"/>
      <c r="G59" s="700"/>
      <c r="H59" s="1317"/>
      <c r="I59" s="699"/>
      <c r="J59" s="699"/>
      <c r="K59" s="1317"/>
      <c r="L59" s="699"/>
      <c r="M59" s="699"/>
      <c r="N59" s="714">
        <f t="shared" si="10"/>
        <v>0</v>
      </c>
      <c r="O59" s="721"/>
      <c r="P59" s="698">
        <f t="shared" si="5"/>
        <v>0</v>
      </c>
      <c r="Q59" s="722"/>
      <c r="R59" s="698">
        <f t="shared" si="6"/>
        <v>0</v>
      </c>
      <c r="S59" s="722"/>
      <c r="T59" s="722"/>
      <c r="U59" s="698">
        <f t="shared" si="7"/>
        <v>0</v>
      </c>
      <c r="V59" s="722"/>
      <c r="W59" s="698">
        <f t="shared" si="12"/>
        <v>0</v>
      </c>
      <c r="X59" s="722"/>
    </row>
    <row r="60" spans="1:24" ht="15.75" thickBot="1">
      <c r="A60" s="753"/>
      <c r="B60" s="754" t="s">
        <v>73</v>
      </c>
      <c r="C60" s="828" t="s">
        <v>21</v>
      </c>
      <c r="D60" s="1317">
        <f t="shared" si="0"/>
        <v>0</v>
      </c>
      <c r="E60" s="1317">
        <f t="shared" si="1"/>
        <v>0</v>
      </c>
      <c r="F60" s="727"/>
      <c r="G60" s="728"/>
      <c r="H60" s="1317"/>
      <c r="I60" s="699"/>
      <c r="J60" s="699"/>
      <c r="K60" s="1317"/>
      <c r="L60" s="699"/>
      <c r="M60" s="699"/>
      <c r="N60" s="729">
        <f t="shared" si="10"/>
        <v>0</v>
      </c>
      <c r="O60" s="730"/>
      <c r="P60" s="726">
        <f t="shared" si="5"/>
        <v>0</v>
      </c>
      <c r="Q60" s="726"/>
      <c r="R60" s="726">
        <f t="shared" si="6"/>
        <v>0</v>
      </c>
      <c r="S60" s="726"/>
      <c r="T60" s="726"/>
      <c r="U60" s="726">
        <f t="shared" si="7"/>
        <v>0</v>
      </c>
      <c r="V60" s="726"/>
      <c r="W60" s="726">
        <f t="shared" si="12"/>
        <v>0</v>
      </c>
      <c r="X60" s="726"/>
    </row>
    <row r="61" spans="1:24" ht="15.75" thickBot="1">
      <c r="A61" s="755">
        <v>16</v>
      </c>
      <c r="B61" s="756" t="s">
        <v>74</v>
      </c>
      <c r="C61" s="808" t="s">
        <v>47</v>
      </c>
      <c r="D61" s="1317">
        <f t="shared" si="0"/>
        <v>0</v>
      </c>
      <c r="E61" s="1317">
        <f t="shared" si="1"/>
        <v>0</v>
      </c>
      <c r="F61" s="758"/>
      <c r="G61" s="759"/>
      <c r="H61" s="1317"/>
      <c r="I61" s="699"/>
      <c r="J61" s="699"/>
      <c r="K61" s="1317"/>
      <c r="L61" s="699"/>
      <c r="M61" s="699"/>
      <c r="N61" s="760">
        <f t="shared" si="10"/>
        <v>0</v>
      </c>
      <c r="O61" s="761"/>
      <c r="P61" s="737">
        <f t="shared" si="5"/>
        <v>0</v>
      </c>
      <c r="Q61" s="757"/>
      <c r="R61" s="737">
        <f t="shared" si="6"/>
        <v>0</v>
      </c>
      <c r="S61" s="757"/>
      <c r="T61" s="757"/>
      <c r="U61" s="737">
        <f t="shared" si="7"/>
        <v>0</v>
      </c>
      <c r="V61" s="757"/>
      <c r="W61" s="737">
        <f t="shared" si="12"/>
        <v>0</v>
      </c>
      <c r="X61" s="762"/>
    </row>
    <row r="62" spans="1:24" ht="15.75" thickBot="1">
      <c r="A62" s="763"/>
      <c r="B62" s="764"/>
      <c r="C62" s="790" t="s">
        <v>21</v>
      </c>
      <c r="D62" s="1317">
        <f t="shared" si="0"/>
        <v>0</v>
      </c>
      <c r="E62" s="1317">
        <f t="shared" si="1"/>
        <v>0</v>
      </c>
      <c r="F62" s="766"/>
      <c r="G62" s="767"/>
      <c r="H62" s="1317"/>
      <c r="I62" s="699"/>
      <c r="J62" s="699"/>
      <c r="K62" s="1317"/>
      <c r="L62" s="699"/>
      <c r="M62" s="699"/>
      <c r="N62" s="742">
        <f t="shared" si="10"/>
        <v>0</v>
      </c>
      <c r="O62" s="768"/>
      <c r="P62" s="720">
        <f t="shared" si="5"/>
        <v>0</v>
      </c>
      <c r="Q62" s="765"/>
      <c r="R62" s="720">
        <f t="shared" si="6"/>
        <v>0</v>
      </c>
      <c r="S62" s="765"/>
      <c r="T62" s="765"/>
      <c r="U62" s="720">
        <f t="shared" si="7"/>
        <v>0</v>
      </c>
      <c r="V62" s="765"/>
      <c r="W62" s="720">
        <f t="shared" si="12"/>
        <v>0</v>
      </c>
      <c r="X62" s="769"/>
    </row>
    <row r="63" spans="1:24" ht="32.25" thickBot="1">
      <c r="A63" s="755">
        <v>17</v>
      </c>
      <c r="B63" s="770" t="s">
        <v>75</v>
      </c>
      <c r="C63" s="808" t="s">
        <v>24</v>
      </c>
      <c r="D63" s="1317">
        <f t="shared" si="0"/>
        <v>0</v>
      </c>
      <c r="E63" s="1317">
        <f t="shared" si="1"/>
        <v>0</v>
      </c>
      <c r="F63" s="758"/>
      <c r="G63" s="759"/>
      <c r="H63" s="1317"/>
      <c r="I63" s="699"/>
      <c r="J63" s="699"/>
      <c r="K63" s="1317"/>
      <c r="L63" s="699"/>
      <c r="M63" s="699"/>
      <c r="N63" s="760">
        <f t="shared" si="10"/>
        <v>0</v>
      </c>
      <c r="O63" s="761"/>
      <c r="P63" s="737">
        <f t="shared" si="5"/>
        <v>0</v>
      </c>
      <c r="Q63" s="757"/>
      <c r="R63" s="737">
        <f t="shared" si="6"/>
        <v>0</v>
      </c>
      <c r="S63" s="757"/>
      <c r="T63" s="757"/>
      <c r="U63" s="737">
        <f t="shared" si="7"/>
        <v>0</v>
      </c>
      <c r="V63" s="757"/>
      <c r="W63" s="737">
        <f t="shared" si="12"/>
        <v>0</v>
      </c>
      <c r="X63" s="762"/>
    </row>
    <row r="64" spans="1:24" ht="15.75" thickBot="1">
      <c r="A64" s="763"/>
      <c r="B64" s="771"/>
      <c r="C64" s="790" t="s">
        <v>21</v>
      </c>
      <c r="D64" s="1317">
        <f t="shared" si="0"/>
        <v>0</v>
      </c>
      <c r="E64" s="1317">
        <f t="shared" si="1"/>
        <v>0</v>
      </c>
      <c r="F64" s="766"/>
      <c r="G64" s="767"/>
      <c r="H64" s="1317"/>
      <c r="I64" s="699"/>
      <c r="J64" s="699"/>
      <c r="K64" s="1317"/>
      <c r="L64" s="699"/>
      <c r="M64" s="699"/>
      <c r="N64" s="742">
        <f t="shared" si="10"/>
        <v>0</v>
      </c>
      <c r="O64" s="768"/>
      <c r="P64" s="720">
        <f t="shared" si="5"/>
        <v>0</v>
      </c>
      <c r="Q64" s="765"/>
      <c r="R64" s="720">
        <f t="shared" si="6"/>
        <v>0</v>
      </c>
      <c r="S64" s="765"/>
      <c r="T64" s="765"/>
      <c r="U64" s="720">
        <f t="shared" si="7"/>
        <v>0</v>
      </c>
      <c r="V64" s="765"/>
      <c r="W64" s="720">
        <f t="shared" si="12"/>
        <v>0</v>
      </c>
      <c r="X64" s="769"/>
    </row>
    <row r="65" spans="1:24" ht="15.75" thickBot="1">
      <c r="A65" s="755">
        <v>18</v>
      </c>
      <c r="B65" s="756" t="s">
        <v>76</v>
      </c>
      <c r="C65" s="808" t="s">
        <v>47</v>
      </c>
      <c r="D65" s="1317">
        <f t="shared" si="0"/>
        <v>0</v>
      </c>
      <c r="E65" s="1317">
        <f t="shared" si="1"/>
        <v>0</v>
      </c>
      <c r="F65" s="758"/>
      <c r="G65" s="759"/>
      <c r="H65" s="1317"/>
      <c r="I65" s="699"/>
      <c r="J65" s="699"/>
      <c r="K65" s="1317"/>
      <c r="L65" s="699"/>
      <c r="M65" s="699"/>
      <c r="N65" s="760">
        <f t="shared" si="10"/>
        <v>0</v>
      </c>
      <c r="O65" s="761"/>
      <c r="P65" s="737">
        <f t="shared" si="5"/>
        <v>0</v>
      </c>
      <c r="Q65" s="757"/>
      <c r="R65" s="737">
        <f t="shared" si="6"/>
        <v>0</v>
      </c>
      <c r="S65" s="757"/>
      <c r="T65" s="757"/>
      <c r="U65" s="737">
        <f t="shared" si="7"/>
        <v>0</v>
      </c>
      <c r="V65" s="757"/>
      <c r="W65" s="737">
        <f t="shared" si="12"/>
        <v>0</v>
      </c>
      <c r="X65" s="762"/>
    </row>
    <row r="66" spans="1:24" ht="15.75" thickBot="1">
      <c r="A66" s="763"/>
      <c r="B66" s="764"/>
      <c r="C66" s="790" t="s">
        <v>21</v>
      </c>
      <c r="D66" s="1317">
        <f t="shared" si="0"/>
        <v>0</v>
      </c>
      <c r="E66" s="1317">
        <f t="shared" si="1"/>
        <v>0</v>
      </c>
      <c r="F66" s="766"/>
      <c r="G66" s="767"/>
      <c r="H66" s="1317"/>
      <c r="I66" s="699"/>
      <c r="J66" s="699"/>
      <c r="K66" s="1317"/>
      <c r="L66" s="699"/>
      <c r="M66" s="699"/>
      <c r="N66" s="742">
        <f t="shared" si="10"/>
        <v>0</v>
      </c>
      <c r="O66" s="768"/>
      <c r="P66" s="720">
        <f t="shared" si="5"/>
        <v>0</v>
      </c>
      <c r="Q66" s="765"/>
      <c r="R66" s="720">
        <f t="shared" si="6"/>
        <v>0</v>
      </c>
      <c r="S66" s="765"/>
      <c r="T66" s="765"/>
      <c r="U66" s="720">
        <f t="shared" si="7"/>
        <v>0</v>
      </c>
      <c r="V66" s="765"/>
      <c r="W66" s="720">
        <f t="shared" si="12"/>
        <v>0</v>
      </c>
      <c r="X66" s="769"/>
    </row>
    <row r="67" spans="1:24" ht="15.75" thickBot="1">
      <c r="A67" s="755">
        <v>19</v>
      </c>
      <c r="B67" s="756" t="s">
        <v>77</v>
      </c>
      <c r="C67" s="808" t="s">
        <v>47</v>
      </c>
      <c r="D67" s="1317">
        <f t="shared" si="0"/>
        <v>0</v>
      </c>
      <c r="E67" s="1317">
        <f t="shared" si="1"/>
        <v>0</v>
      </c>
      <c r="F67" s="758"/>
      <c r="G67" s="759"/>
      <c r="H67" s="1317"/>
      <c r="I67" s="699"/>
      <c r="J67" s="699"/>
      <c r="K67" s="1317"/>
      <c r="L67" s="699"/>
      <c r="M67" s="699"/>
      <c r="N67" s="760">
        <f t="shared" si="10"/>
        <v>0</v>
      </c>
      <c r="O67" s="761"/>
      <c r="P67" s="737">
        <f t="shared" si="5"/>
        <v>0</v>
      </c>
      <c r="Q67" s="757"/>
      <c r="R67" s="737">
        <f t="shared" si="6"/>
        <v>0</v>
      </c>
      <c r="S67" s="757"/>
      <c r="T67" s="757"/>
      <c r="U67" s="737">
        <f t="shared" si="7"/>
        <v>0</v>
      </c>
      <c r="V67" s="757"/>
      <c r="W67" s="737">
        <f t="shared" si="12"/>
        <v>0</v>
      </c>
      <c r="X67" s="762"/>
    </row>
    <row r="68" spans="1:24" ht="15.75" thickBot="1">
      <c r="A68" s="763"/>
      <c r="B68" s="764"/>
      <c r="C68" s="790" t="s">
        <v>21</v>
      </c>
      <c r="D68" s="1317">
        <f t="shared" si="0"/>
        <v>0</v>
      </c>
      <c r="E68" s="1317">
        <f t="shared" si="1"/>
        <v>0</v>
      </c>
      <c r="F68" s="766"/>
      <c r="G68" s="767"/>
      <c r="H68" s="1317"/>
      <c r="I68" s="699"/>
      <c r="J68" s="699"/>
      <c r="K68" s="1317"/>
      <c r="L68" s="699"/>
      <c r="M68" s="699"/>
      <c r="N68" s="742">
        <f t="shared" si="10"/>
        <v>0</v>
      </c>
      <c r="O68" s="768"/>
      <c r="P68" s="720">
        <f t="shared" si="5"/>
        <v>0</v>
      </c>
      <c r="Q68" s="765"/>
      <c r="R68" s="720">
        <f t="shared" si="6"/>
        <v>0</v>
      </c>
      <c r="S68" s="765"/>
      <c r="T68" s="765"/>
      <c r="U68" s="720">
        <f t="shared" si="7"/>
        <v>0</v>
      </c>
      <c r="V68" s="765"/>
      <c r="W68" s="720">
        <f t="shared" si="12"/>
        <v>0</v>
      </c>
      <c r="X68" s="769"/>
    </row>
    <row r="69" spans="1:24" ht="21.75" thickBot="1">
      <c r="A69" s="755">
        <v>20</v>
      </c>
      <c r="B69" s="770" t="s">
        <v>78</v>
      </c>
      <c r="C69" s="808" t="s">
        <v>79</v>
      </c>
      <c r="D69" s="1317">
        <f t="shared" si="0"/>
        <v>0</v>
      </c>
      <c r="E69" s="1317">
        <f t="shared" si="1"/>
        <v>0</v>
      </c>
      <c r="F69" s="758"/>
      <c r="G69" s="759"/>
      <c r="H69" s="1317"/>
      <c r="I69" s="699"/>
      <c r="J69" s="699"/>
      <c r="K69" s="1317"/>
      <c r="L69" s="699"/>
      <c r="M69" s="699"/>
      <c r="N69" s="760">
        <f t="shared" si="10"/>
        <v>0</v>
      </c>
      <c r="O69" s="761"/>
      <c r="P69" s="737">
        <f t="shared" si="5"/>
        <v>0</v>
      </c>
      <c r="Q69" s="757"/>
      <c r="R69" s="737">
        <f t="shared" si="6"/>
        <v>0</v>
      </c>
      <c r="S69" s="757"/>
      <c r="T69" s="757"/>
      <c r="U69" s="737">
        <f t="shared" si="7"/>
        <v>0</v>
      </c>
      <c r="V69" s="757"/>
      <c r="W69" s="737">
        <f t="shared" si="12"/>
        <v>0</v>
      </c>
      <c r="X69" s="762"/>
    </row>
    <row r="70" spans="1:24" ht="15.75" thickBot="1">
      <c r="A70" s="763"/>
      <c r="B70" s="764"/>
      <c r="C70" s="790" t="s">
        <v>21</v>
      </c>
      <c r="D70" s="1317">
        <f t="shared" si="0"/>
        <v>0</v>
      </c>
      <c r="E70" s="1317">
        <f t="shared" si="1"/>
        <v>0</v>
      </c>
      <c r="F70" s="766"/>
      <c r="G70" s="767"/>
      <c r="H70" s="1317"/>
      <c r="I70" s="699"/>
      <c r="J70" s="699"/>
      <c r="K70" s="1317"/>
      <c r="L70" s="699"/>
      <c r="M70" s="699"/>
      <c r="N70" s="742">
        <f t="shared" si="10"/>
        <v>0</v>
      </c>
      <c r="O70" s="768"/>
      <c r="P70" s="720">
        <f t="shared" si="5"/>
        <v>0</v>
      </c>
      <c r="Q70" s="765"/>
      <c r="R70" s="720">
        <f t="shared" si="6"/>
        <v>0</v>
      </c>
      <c r="S70" s="765"/>
      <c r="T70" s="765"/>
      <c r="U70" s="720">
        <f t="shared" si="7"/>
        <v>0</v>
      </c>
      <c r="V70" s="765"/>
      <c r="W70" s="720">
        <f t="shared" si="12"/>
        <v>0</v>
      </c>
      <c r="X70" s="769"/>
    </row>
    <row r="71" spans="1:24" ht="21.75" thickBot="1">
      <c r="A71" s="755">
        <v>21</v>
      </c>
      <c r="B71" s="770" t="s">
        <v>80</v>
      </c>
      <c r="C71" s="808" t="s">
        <v>24</v>
      </c>
      <c r="D71" s="1317">
        <f t="shared" si="0"/>
        <v>0</v>
      </c>
      <c r="E71" s="1317">
        <f t="shared" si="1"/>
        <v>0</v>
      </c>
      <c r="F71" s="758"/>
      <c r="G71" s="759"/>
      <c r="H71" s="1317"/>
      <c r="I71" s="699"/>
      <c r="J71" s="699"/>
      <c r="K71" s="1317"/>
      <c r="L71" s="699"/>
      <c r="M71" s="699"/>
      <c r="N71" s="760">
        <f t="shared" si="10"/>
        <v>0</v>
      </c>
      <c r="O71" s="761"/>
      <c r="P71" s="737">
        <f t="shared" si="5"/>
        <v>0</v>
      </c>
      <c r="Q71" s="757"/>
      <c r="R71" s="737">
        <f t="shared" si="6"/>
        <v>0</v>
      </c>
      <c r="S71" s="757"/>
      <c r="T71" s="757"/>
      <c r="U71" s="737">
        <f t="shared" si="7"/>
        <v>0</v>
      </c>
      <c r="V71" s="757"/>
      <c r="W71" s="737">
        <f t="shared" si="12"/>
        <v>0</v>
      </c>
      <c r="X71" s="762"/>
    </row>
    <row r="72" spans="1:24" ht="15.75" thickBot="1">
      <c r="A72" s="763"/>
      <c r="B72" s="764"/>
      <c r="C72" s="790" t="s">
        <v>21</v>
      </c>
      <c r="D72" s="1317">
        <f t="shared" si="0"/>
        <v>0</v>
      </c>
      <c r="E72" s="1317">
        <f t="shared" si="1"/>
        <v>0</v>
      </c>
      <c r="F72" s="766"/>
      <c r="G72" s="767"/>
      <c r="H72" s="1317"/>
      <c r="I72" s="699"/>
      <c r="J72" s="699"/>
      <c r="K72" s="1317"/>
      <c r="L72" s="699"/>
      <c r="M72" s="699"/>
      <c r="N72" s="742">
        <f t="shared" si="10"/>
        <v>0</v>
      </c>
      <c r="O72" s="768"/>
      <c r="P72" s="720">
        <f t="shared" si="5"/>
        <v>0</v>
      </c>
      <c r="Q72" s="765"/>
      <c r="R72" s="720">
        <f t="shared" si="6"/>
        <v>0</v>
      </c>
      <c r="S72" s="765"/>
      <c r="T72" s="765"/>
      <c r="U72" s="720">
        <f t="shared" si="7"/>
        <v>0</v>
      </c>
      <c r="V72" s="765"/>
      <c r="W72" s="720">
        <f t="shared" si="12"/>
        <v>0</v>
      </c>
      <c r="X72" s="769"/>
    </row>
    <row r="73" spans="1:24" ht="16.5" thickTop="1" thickBot="1">
      <c r="A73" s="1335" t="s">
        <v>81</v>
      </c>
      <c r="B73" s="1336" t="s">
        <v>82</v>
      </c>
      <c r="C73" s="1337" t="s">
        <v>21</v>
      </c>
      <c r="D73" s="1317">
        <f>D75+D85+D87</f>
        <v>424.286</v>
      </c>
      <c r="E73" s="1317">
        <f t="shared" si="1"/>
        <v>0</v>
      </c>
      <c r="F73" s="1338">
        <f t="shared" ref="F73:X73" si="14">F75+F85+F87</f>
        <v>0</v>
      </c>
      <c r="G73" s="1339">
        <f t="shared" si="14"/>
        <v>0</v>
      </c>
      <c r="H73" s="1340">
        <f>H75+H85+H87</f>
        <v>423.61700000000002</v>
      </c>
      <c r="I73" s="1340">
        <f>I75+I85+I87</f>
        <v>423.61700000000002</v>
      </c>
      <c r="J73" s="1340">
        <f>J75+J85+J87</f>
        <v>0</v>
      </c>
      <c r="K73" s="724">
        <f>L73</f>
        <v>0.66900000000000004</v>
      </c>
      <c r="L73" s="724">
        <f>L87</f>
        <v>0.66900000000000004</v>
      </c>
      <c r="M73" s="724"/>
      <c r="N73" s="1338">
        <f t="shared" si="14"/>
        <v>0</v>
      </c>
      <c r="O73" s="1338">
        <f t="shared" si="14"/>
        <v>0</v>
      </c>
      <c r="P73" s="1338">
        <f t="shared" si="14"/>
        <v>0</v>
      </c>
      <c r="Q73" s="1338">
        <f t="shared" si="14"/>
        <v>0</v>
      </c>
      <c r="R73" s="1338">
        <f t="shared" si="14"/>
        <v>0</v>
      </c>
      <c r="S73" s="1338">
        <f t="shared" si="14"/>
        <v>0</v>
      </c>
      <c r="T73" s="1338">
        <f t="shared" si="14"/>
        <v>0</v>
      </c>
      <c r="U73" s="1338">
        <f t="shared" si="14"/>
        <v>0</v>
      </c>
      <c r="V73" s="1338">
        <f t="shared" si="14"/>
        <v>0</v>
      </c>
      <c r="W73" s="1338">
        <f t="shared" si="14"/>
        <v>0</v>
      </c>
      <c r="X73" s="1338">
        <f t="shared" si="14"/>
        <v>0</v>
      </c>
    </row>
    <row r="74" spans="1:24" ht="16.5" thickTop="1" thickBot="1">
      <c r="A74" s="707">
        <v>18</v>
      </c>
      <c r="B74" s="779" t="s">
        <v>83</v>
      </c>
      <c r="C74" s="835" t="s">
        <v>51</v>
      </c>
      <c r="D74" s="1317">
        <f>H74+K74</f>
        <v>1.7226699999999999</v>
      </c>
      <c r="E74" s="1317">
        <f t="shared" si="1"/>
        <v>0</v>
      </c>
      <c r="F74" s="694">
        <f t="shared" ref="F74:G75" si="15">F76+F78+F80+F82</f>
        <v>0</v>
      </c>
      <c r="G74" s="694">
        <f t="shared" si="15"/>
        <v>0</v>
      </c>
      <c r="H74" s="1324">
        <f t="shared" ref="H74:H87" si="16">I74</f>
        <v>1.7226699999999999</v>
      </c>
      <c r="I74" s="781">
        <f>I76+I78+I80+I82</f>
        <v>1.7226699999999999</v>
      </c>
      <c r="J74" s="781"/>
      <c r="K74" s="1329">
        <f>L74</f>
        <v>0</v>
      </c>
      <c r="L74" s="781"/>
      <c r="M74" s="781"/>
      <c r="N74" s="782">
        <f t="shared" ref="N74:X75" si="17">N76+N78+N80+N82</f>
        <v>0</v>
      </c>
      <c r="O74" s="694">
        <f t="shared" si="17"/>
        <v>0</v>
      </c>
      <c r="P74" s="694">
        <f t="shared" si="17"/>
        <v>0</v>
      </c>
      <c r="Q74" s="694">
        <f t="shared" si="17"/>
        <v>0</v>
      </c>
      <c r="R74" s="694">
        <f t="shared" si="17"/>
        <v>0</v>
      </c>
      <c r="S74" s="694">
        <f t="shared" si="17"/>
        <v>0</v>
      </c>
      <c r="T74" s="694">
        <f t="shared" si="17"/>
        <v>0</v>
      </c>
      <c r="U74" s="694">
        <f t="shared" si="17"/>
        <v>0</v>
      </c>
      <c r="V74" s="694">
        <f t="shared" si="17"/>
        <v>0</v>
      </c>
      <c r="W74" s="694">
        <f t="shared" si="17"/>
        <v>0</v>
      </c>
      <c r="X74" s="694">
        <f t="shared" si="17"/>
        <v>0</v>
      </c>
    </row>
    <row r="75" spans="1:24" ht="15.75" thickBot="1">
      <c r="A75" s="783"/>
      <c r="B75" s="779" t="s">
        <v>84</v>
      </c>
      <c r="C75" s="1341" t="s">
        <v>21</v>
      </c>
      <c r="D75" s="1317">
        <f>D77+D79+D81+D83</f>
        <v>349.33800000000002</v>
      </c>
      <c r="E75" s="1317">
        <f t="shared" si="1"/>
        <v>0</v>
      </c>
      <c r="F75" s="694">
        <f t="shared" si="15"/>
        <v>0</v>
      </c>
      <c r="G75" s="694">
        <f t="shared" si="15"/>
        <v>0</v>
      </c>
      <c r="H75" s="1324">
        <f t="shared" si="16"/>
        <v>349.33800000000002</v>
      </c>
      <c r="I75" s="781">
        <f>I77+I79+I81+I83</f>
        <v>349.33800000000002</v>
      </c>
      <c r="J75" s="781"/>
      <c r="K75" s="1329">
        <f>L75</f>
        <v>0</v>
      </c>
      <c r="L75" s="781"/>
      <c r="M75" s="781"/>
      <c r="N75" s="782">
        <f t="shared" si="17"/>
        <v>0</v>
      </c>
      <c r="O75" s="694">
        <f t="shared" si="17"/>
        <v>0</v>
      </c>
      <c r="P75" s="694">
        <f t="shared" si="17"/>
        <v>0</v>
      </c>
      <c r="Q75" s="694">
        <f t="shared" si="17"/>
        <v>0</v>
      </c>
      <c r="R75" s="694">
        <f t="shared" si="17"/>
        <v>0</v>
      </c>
      <c r="S75" s="694">
        <f t="shared" si="17"/>
        <v>0</v>
      </c>
      <c r="T75" s="694">
        <f t="shared" si="17"/>
        <v>0</v>
      </c>
      <c r="U75" s="694">
        <f t="shared" si="17"/>
        <v>0</v>
      </c>
      <c r="V75" s="694">
        <f t="shared" si="17"/>
        <v>0</v>
      </c>
      <c r="W75" s="694">
        <f t="shared" si="17"/>
        <v>0</v>
      </c>
      <c r="X75" s="694">
        <f t="shared" si="17"/>
        <v>0</v>
      </c>
    </row>
    <row r="76" spans="1:24" ht="15.75" thickBot="1">
      <c r="A76" s="785" t="s">
        <v>85</v>
      </c>
      <c r="B76" s="786" t="s">
        <v>86</v>
      </c>
      <c r="C76" s="1341" t="s">
        <v>87</v>
      </c>
      <c r="D76" s="1317">
        <f t="shared" ref="D76:D87" si="18">I76+L76</f>
        <v>2.4E-2</v>
      </c>
      <c r="E76" s="1317">
        <f t="shared" si="1"/>
        <v>0</v>
      </c>
      <c r="F76" s="699"/>
      <c r="G76" s="699"/>
      <c r="H76" s="1324">
        <f t="shared" si="16"/>
        <v>2.4E-2</v>
      </c>
      <c r="I76" s="688">
        <f>0.012+0.012</f>
        <v>2.4E-2</v>
      </c>
      <c r="J76" s="688"/>
      <c r="K76" s="1329">
        <f>L76</f>
        <v>0</v>
      </c>
      <c r="L76" s="688"/>
      <c r="M76" s="688"/>
      <c r="N76" s="714">
        <f t="shared" ref="N76:N87" si="19">O76</f>
        <v>0</v>
      </c>
      <c r="O76" s="787"/>
      <c r="P76" s="698">
        <f t="shared" ref="P76:P87" si="20">Q76</f>
        <v>0</v>
      </c>
      <c r="Q76" s="698"/>
      <c r="R76" s="698">
        <f t="shared" ref="R76:R87" si="21">S76+T76</f>
        <v>0</v>
      </c>
      <c r="S76" s="698"/>
      <c r="T76" s="698"/>
      <c r="U76" s="698">
        <f t="shared" ref="U76:U87" si="22">V76</f>
        <v>0</v>
      </c>
      <c r="V76" s="698"/>
      <c r="W76" s="698">
        <f t="shared" ref="W76:W87" si="23">X76</f>
        <v>0</v>
      </c>
      <c r="X76" s="698"/>
    </row>
    <row r="77" spans="1:24" ht="15.75" thickBot="1">
      <c r="A77" s="788"/>
      <c r="B77" s="786"/>
      <c r="C77" s="1341" t="s">
        <v>21</v>
      </c>
      <c r="D77" s="1317">
        <f t="shared" si="18"/>
        <v>35.227000000000004</v>
      </c>
      <c r="E77" s="1317">
        <f t="shared" si="1"/>
        <v>0</v>
      </c>
      <c r="F77" s="699"/>
      <c r="G77" s="699"/>
      <c r="H77" s="1324">
        <f t="shared" si="16"/>
        <v>35.227000000000004</v>
      </c>
      <c r="I77" s="688">
        <f>18.764+16.463</f>
        <v>35.227000000000004</v>
      </c>
      <c r="J77" s="688"/>
      <c r="K77" s="1329">
        <f>L77</f>
        <v>0</v>
      </c>
      <c r="L77" s="688"/>
      <c r="M77" s="688"/>
      <c r="N77" s="714">
        <f t="shared" si="19"/>
        <v>0</v>
      </c>
      <c r="O77" s="787"/>
      <c r="P77" s="698">
        <f t="shared" si="20"/>
        <v>0</v>
      </c>
      <c r="Q77" s="698"/>
      <c r="R77" s="698">
        <f t="shared" si="21"/>
        <v>0</v>
      </c>
      <c r="S77" s="698"/>
      <c r="T77" s="698"/>
      <c r="U77" s="698">
        <f t="shared" si="22"/>
        <v>0</v>
      </c>
      <c r="V77" s="698"/>
      <c r="W77" s="698">
        <f t="shared" si="23"/>
        <v>0</v>
      </c>
      <c r="X77" s="698"/>
    </row>
    <row r="78" spans="1:24" ht="15.75" thickBot="1">
      <c r="A78" s="785" t="s">
        <v>88</v>
      </c>
      <c r="B78" s="786" t="s">
        <v>89</v>
      </c>
      <c r="C78" s="1341" t="s">
        <v>51</v>
      </c>
      <c r="D78" s="1317">
        <f t="shared" si="18"/>
        <v>1.5269999999999999</v>
      </c>
      <c r="E78" s="1317">
        <f t="shared" si="1"/>
        <v>0</v>
      </c>
      <c r="F78" s="699"/>
      <c r="G78" s="699"/>
      <c r="H78" s="1324">
        <f t="shared" si="16"/>
        <v>1.5269999999999999</v>
      </c>
      <c r="I78" s="688">
        <f>0.009+0.015+0.001+0.002+1.5</f>
        <v>1.5269999999999999</v>
      </c>
      <c r="J78" s="688"/>
      <c r="K78" s="1329"/>
      <c r="L78" s="688"/>
      <c r="M78" s="688"/>
      <c r="N78" s="714">
        <f t="shared" si="19"/>
        <v>0</v>
      </c>
      <c r="O78" s="787"/>
      <c r="P78" s="698">
        <f t="shared" si="20"/>
        <v>0</v>
      </c>
      <c r="Q78" s="698"/>
      <c r="R78" s="698">
        <f t="shared" si="21"/>
        <v>0</v>
      </c>
      <c r="S78" s="698"/>
      <c r="T78" s="698"/>
      <c r="U78" s="698">
        <f t="shared" si="22"/>
        <v>0</v>
      </c>
      <c r="V78" s="698"/>
      <c r="W78" s="698">
        <f t="shared" si="23"/>
        <v>0</v>
      </c>
      <c r="X78" s="698"/>
    </row>
    <row r="79" spans="1:24" ht="15.75" thickBot="1">
      <c r="A79" s="788"/>
      <c r="B79" s="786"/>
      <c r="C79" s="1341" t="s">
        <v>21</v>
      </c>
      <c r="D79" s="1317">
        <f t="shared" si="18"/>
        <v>28.081000000000003</v>
      </c>
      <c r="E79" s="1317">
        <f t="shared" si="1"/>
        <v>0</v>
      </c>
      <c r="F79" s="699"/>
      <c r="G79" s="699"/>
      <c r="H79" s="1324">
        <f t="shared" si="16"/>
        <v>28.081000000000003</v>
      </c>
      <c r="I79" s="688">
        <f>8.904+16.007+0.978+1.318+0.874</f>
        <v>28.081000000000003</v>
      </c>
      <c r="J79" s="688"/>
      <c r="K79" s="1329"/>
      <c r="L79" s="789"/>
      <c r="M79" s="688"/>
      <c r="N79" s="714">
        <f t="shared" si="19"/>
        <v>0</v>
      </c>
      <c r="O79" s="787"/>
      <c r="P79" s="698">
        <f t="shared" si="20"/>
        <v>0</v>
      </c>
      <c r="Q79" s="698"/>
      <c r="R79" s="698">
        <f t="shared" si="21"/>
        <v>0</v>
      </c>
      <c r="S79" s="698"/>
      <c r="T79" s="698"/>
      <c r="U79" s="698">
        <f t="shared" si="22"/>
        <v>0</v>
      </c>
      <c r="V79" s="698"/>
      <c r="W79" s="698">
        <f t="shared" si="23"/>
        <v>0</v>
      </c>
      <c r="X79" s="698"/>
    </row>
    <row r="80" spans="1:24" ht="15.75" thickBot="1">
      <c r="A80" s="785" t="s">
        <v>90</v>
      </c>
      <c r="B80" s="786" t="s">
        <v>91</v>
      </c>
      <c r="C80" s="1341" t="s">
        <v>51</v>
      </c>
      <c r="D80" s="1317">
        <f t="shared" si="18"/>
        <v>0.15717000000000009</v>
      </c>
      <c r="E80" s="1317">
        <f t="shared" ref="E80:E99" si="24">F80+G80</f>
        <v>0</v>
      </c>
      <c r="F80" s="699"/>
      <c r="G80" s="699"/>
      <c r="H80" s="1324">
        <f t="shared" si="16"/>
        <v>0.15717000000000009</v>
      </c>
      <c r="I80" s="688">
        <f>0.006+0.012+0.01177+0.0025+0.004+0.004+0.001+0.007+0.0035+0.028+0.035+0.013+0.0005+0.001+0.0007+0.002+0.009+0.0004+0.003+0.006+0.0004+0.0004+0.0006+0.005+0.0004</f>
        <v>0.15717000000000009</v>
      </c>
      <c r="J80" s="688"/>
      <c r="K80" s="1329"/>
      <c r="L80" s="688"/>
      <c r="M80" s="688"/>
      <c r="N80" s="714">
        <f t="shared" si="19"/>
        <v>0</v>
      </c>
      <c r="O80" s="787"/>
      <c r="P80" s="698">
        <f t="shared" si="20"/>
        <v>0</v>
      </c>
      <c r="Q80" s="698"/>
      <c r="R80" s="698">
        <f t="shared" si="21"/>
        <v>0</v>
      </c>
      <c r="S80" s="698"/>
      <c r="T80" s="698"/>
      <c r="U80" s="698">
        <f t="shared" si="22"/>
        <v>0</v>
      </c>
      <c r="V80" s="698"/>
      <c r="W80" s="698">
        <f t="shared" si="23"/>
        <v>0</v>
      </c>
      <c r="X80" s="698"/>
    </row>
    <row r="81" spans="1:24" ht="15.75" thickBot="1">
      <c r="A81" s="788"/>
      <c r="B81" s="786"/>
      <c r="C81" s="1341" t="s">
        <v>21</v>
      </c>
      <c r="D81" s="1317">
        <f t="shared" si="18"/>
        <v>256.81400000000002</v>
      </c>
      <c r="E81" s="1317">
        <f t="shared" si="24"/>
        <v>0</v>
      </c>
      <c r="F81" s="699"/>
      <c r="G81" s="699"/>
      <c r="H81" s="1324">
        <f t="shared" si="16"/>
        <v>256.81400000000002</v>
      </c>
      <c r="I81" s="688">
        <f>20.343+29.406+28.457+3.673+6.787+7.897+1.74+8.413+4.196+33.95+48.598+14.464+1.002+1.525+1.746+3.082 +13.317+0.876+5.843+5.837+6.556+0.468+0.876+1.293+5.606+0.863</f>
        <v>256.81400000000002</v>
      </c>
      <c r="J81" s="688"/>
      <c r="K81" s="1329"/>
      <c r="L81" s="688"/>
      <c r="M81" s="688"/>
      <c r="N81" s="714">
        <f t="shared" si="19"/>
        <v>0</v>
      </c>
      <c r="O81" s="787"/>
      <c r="P81" s="698">
        <f t="shared" si="20"/>
        <v>0</v>
      </c>
      <c r="Q81" s="698"/>
      <c r="R81" s="698">
        <f t="shared" si="21"/>
        <v>0</v>
      </c>
      <c r="S81" s="698"/>
      <c r="T81" s="698"/>
      <c r="U81" s="698">
        <f t="shared" si="22"/>
        <v>0</v>
      </c>
      <c r="V81" s="698"/>
      <c r="W81" s="698">
        <f t="shared" si="23"/>
        <v>0</v>
      </c>
      <c r="X81" s="698"/>
    </row>
    <row r="82" spans="1:24" ht="15.75" thickBot="1">
      <c r="A82" s="785" t="s">
        <v>92</v>
      </c>
      <c r="B82" s="786" t="s">
        <v>93</v>
      </c>
      <c r="C82" s="1341" t="s">
        <v>51</v>
      </c>
      <c r="D82" s="1317">
        <f t="shared" si="18"/>
        <v>1.4499999999999999E-2</v>
      </c>
      <c r="E82" s="1317">
        <f t="shared" si="24"/>
        <v>0</v>
      </c>
      <c r="F82" s="699"/>
      <c r="G82" s="699"/>
      <c r="H82" s="1324">
        <f t="shared" si="16"/>
        <v>1.4499999999999999E-2</v>
      </c>
      <c r="I82" s="688">
        <f>0.0005+0.003+0.011</f>
        <v>1.4499999999999999E-2</v>
      </c>
      <c r="J82" s="688"/>
      <c r="K82" s="1329">
        <f>L82</f>
        <v>0</v>
      </c>
      <c r="L82" s="688"/>
      <c r="M82" s="688"/>
      <c r="N82" s="714">
        <f t="shared" si="19"/>
        <v>0</v>
      </c>
      <c r="O82" s="787"/>
      <c r="P82" s="698">
        <f t="shared" si="20"/>
        <v>0</v>
      </c>
      <c r="Q82" s="698"/>
      <c r="R82" s="698">
        <f t="shared" si="21"/>
        <v>0</v>
      </c>
      <c r="S82" s="698"/>
      <c r="T82" s="698"/>
      <c r="U82" s="698">
        <f t="shared" si="22"/>
        <v>0</v>
      </c>
      <c r="V82" s="698"/>
      <c r="W82" s="698">
        <f t="shared" si="23"/>
        <v>0</v>
      </c>
      <c r="X82" s="698"/>
    </row>
    <row r="83" spans="1:24" ht="15.75" thickBot="1">
      <c r="A83" s="717"/>
      <c r="B83" s="790"/>
      <c r="C83" s="839" t="s">
        <v>21</v>
      </c>
      <c r="D83" s="1317">
        <f t="shared" si="18"/>
        <v>29.216000000000001</v>
      </c>
      <c r="E83" s="1317">
        <f t="shared" si="24"/>
        <v>0</v>
      </c>
      <c r="F83" s="699"/>
      <c r="G83" s="699"/>
      <c r="H83" s="1324">
        <f t="shared" si="16"/>
        <v>29.216000000000001</v>
      </c>
      <c r="I83" s="688">
        <f>0.476+0.912+1.631+26.197</f>
        <v>29.216000000000001</v>
      </c>
      <c r="J83" s="688"/>
      <c r="K83" s="1329">
        <f>L83</f>
        <v>0</v>
      </c>
      <c r="L83" s="688"/>
      <c r="M83" s="688"/>
      <c r="N83" s="714">
        <f t="shared" si="19"/>
        <v>0</v>
      </c>
      <c r="O83" s="719"/>
      <c r="P83" s="698">
        <f t="shared" si="20"/>
        <v>0</v>
      </c>
      <c r="Q83" s="726"/>
      <c r="R83" s="698">
        <f t="shared" si="21"/>
        <v>0</v>
      </c>
      <c r="S83" s="726"/>
      <c r="T83" s="726"/>
      <c r="U83" s="698">
        <f t="shared" si="22"/>
        <v>0</v>
      </c>
      <c r="V83" s="726"/>
      <c r="W83" s="698">
        <f t="shared" si="23"/>
        <v>0</v>
      </c>
      <c r="X83" s="726"/>
    </row>
    <row r="84" spans="1:24" ht="15.75" thickBot="1">
      <c r="A84" s="711">
        <v>19</v>
      </c>
      <c r="B84" s="792" t="s">
        <v>94</v>
      </c>
      <c r="C84" s="801" t="s">
        <v>47</v>
      </c>
      <c r="D84" s="1317">
        <f t="shared" si="18"/>
        <v>6</v>
      </c>
      <c r="E84" s="1317">
        <f t="shared" si="24"/>
        <v>0</v>
      </c>
      <c r="F84" s="699"/>
      <c r="G84" s="699"/>
      <c r="H84" s="1324">
        <f t="shared" si="16"/>
        <v>6</v>
      </c>
      <c r="I84" s="688">
        <f>2+1+1+1+1</f>
        <v>6</v>
      </c>
      <c r="J84" s="688"/>
      <c r="K84" s="1329"/>
      <c r="L84" s="688"/>
      <c r="M84" s="688"/>
      <c r="N84" s="714">
        <f t="shared" si="19"/>
        <v>0</v>
      </c>
      <c r="O84" s="736"/>
      <c r="P84" s="698">
        <f t="shared" si="20"/>
        <v>0</v>
      </c>
      <c r="Q84" s="722"/>
      <c r="R84" s="698">
        <f t="shared" si="21"/>
        <v>0</v>
      </c>
      <c r="S84" s="722"/>
      <c r="T84" s="722"/>
      <c r="U84" s="698">
        <f t="shared" si="22"/>
        <v>0</v>
      </c>
      <c r="V84" s="722"/>
      <c r="W84" s="698">
        <f t="shared" si="23"/>
        <v>0</v>
      </c>
      <c r="X84" s="722"/>
    </row>
    <row r="85" spans="1:24" ht="15.75" thickBot="1">
      <c r="A85" s="717"/>
      <c r="B85" s="790"/>
      <c r="C85" s="804" t="s">
        <v>21</v>
      </c>
      <c r="D85" s="1317">
        <f t="shared" si="18"/>
        <v>39.314999999999998</v>
      </c>
      <c r="E85" s="1317">
        <f t="shared" si="24"/>
        <v>0</v>
      </c>
      <c r="F85" s="699"/>
      <c r="G85" s="699"/>
      <c r="H85" s="1324">
        <f t="shared" si="16"/>
        <v>39.314999999999998</v>
      </c>
      <c r="I85" s="688">
        <f>13.033+5.694+5.324+7.632+7.632</f>
        <v>39.314999999999998</v>
      </c>
      <c r="J85" s="688"/>
      <c r="K85" s="1329"/>
      <c r="L85" s="688"/>
      <c r="M85" s="688"/>
      <c r="N85" s="714">
        <f t="shared" si="19"/>
        <v>0</v>
      </c>
      <c r="O85" s="719"/>
      <c r="P85" s="698">
        <f t="shared" si="20"/>
        <v>0</v>
      </c>
      <c r="Q85" s="720"/>
      <c r="R85" s="698">
        <f t="shared" si="21"/>
        <v>0</v>
      </c>
      <c r="S85" s="720"/>
      <c r="T85" s="720"/>
      <c r="U85" s="698">
        <f t="shared" si="22"/>
        <v>0</v>
      </c>
      <c r="V85" s="720"/>
      <c r="W85" s="698">
        <f t="shared" si="23"/>
        <v>0</v>
      </c>
      <c r="X85" s="720"/>
    </row>
    <row r="86" spans="1:24" ht="15.75" thickBot="1">
      <c r="A86" s="795" t="s">
        <v>95</v>
      </c>
      <c r="B86" s="792" t="s">
        <v>197</v>
      </c>
      <c r="C86" s="801" t="s">
        <v>47</v>
      </c>
      <c r="D86" s="1317">
        <f t="shared" si="18"/>
        <v>41</v>
      </c>
      <c r="E86" s="1317">
        <f t="shared" si="24"/>
        <v>0</v>
      </c>
      <c r="F86" s="699"/>
      <c r="G86" s="699"/>
      <c r="H86" s="1324">
        <f t="shared" si="16"/>
        <v>40</v>
      </c>
      <c r="I86" s="688">
        <f>1+4+9+8+6+1+8+1+2</f>
        <v>40</v>
      </c>
      <c r="J86" s="688"/>
      <c r="K86" s="1329">
        <f>L86</f>
        <v>1</v>
      </c>
      <c r="L86" s="688">
        <f>1</f>
        <v>1</v>
      </c>
      <c r="M86" s="688"/>
      <c r="N86" s="714">
        <f t="shared" si="19"/>
        <v>0</v>
      </c>
      <c r="O86" s="736"/>
      <c r="P86" s="698">
        <f t="shared" si="20"/>
        <v>0</v>
      </c>
      <c r="Q86" s="722"/>
      <c r="R86" s="698">
        <f t="shared" si="21"/>
        <v>0</v>
      </c>
      <c r="S86" s="722"/>
      <c r="T86" s="722"/>
      <c r="U86" s="698">
        <f t="shared" si="22"/>
        <v>0</v>
      </c>
      <c r="V86" s="722"/>
      <c r="W86" s="698">
        <f t="shared" si="23"/>
        <v>0</v>
      </c>
      <c r="X86" s="722"/>
    </row>
    <row r="87" spans="1:24" ht="15.75" thickBot="1">
      <c r="A87" s="796"/>
      <c r="B87" s="797" t="s">
        <v>97</v>
      </c>
      <c r="C87" s="804" t="s">
        <v>21</v>
      </c>
      <c r="D87" s="1317">
        <f t="shared" si="18"/>
        <v>35.632999999999996</v>
      </c>
      <c r="E87" s="1317">
        <f t="shared" si="24"/>
        <v>0</v>
      </c>
      <c r="F87" s="699"/>
      <c r="G87" s="699"/>
      <c r="H87" s="1324">
        <f t="shared" si="16"/>
        <v>34.963999999999999</v>
      </c>
      <c r="I87" s="688">
        <f>5.634+2.767+4.44+5.348+4.44+4.62+6.366+0.683+0.666</f>
        <v>34.963999999999999</v>
      </c>
      <c r="J87" s="688"/>
      <c r="K87" s="1329">
        <f>L87</f>
        <v>0.66900000000000004</v>
      </c>
      <c r="L87" s="688">
        <f>0.669</f>
        <v>0.66900000000000004</v>
      </c>
      <c r="M87" s="688"/>
      <c r="N87" s="714">
        <f t="shared" si="19"/>
        <v>0</v>
      </c>
      <c r="O87" s="719"/>
      <c r="P87" s="698">
        <f t="shared" si="20"/>
        <v>0</v>
      </c>
      <c r="Q87" s="720"/>
      <c r="R87" s="698">
        <f t="shared" si="21"/>
        <v>0</v>
      </c>
      <c r="S87" s="720"/>
      <c r="T87" s="720"/>
      <c r="U87" s="698">
        <f t="shared" si="22"/>
        <v>0</v>
      </c>
      <c r="V87" s="720"/>
      <c r="W87" s="698">
        <f t="shared" si="23"/>
        <v>0</v>
      </c>
      <c r="X87" s="720"/>
    </row>
    <row r="88" spans="1:24" ht="16.5" thickTop="1" thickBot="1">
      <c r="A88" s="1342" t="s">
        <v>98</v>
      </c>
      <c r="B88" s="1336" t="s">
        <v>99</v>
      </c>
      <c r="C88" s="1342" t="s">
        <v>21</v>
      </c>
      <c r="D88" s="1317">
        <f t="shared" ref="D88:D97" si="25">H88+K88</f>
        <v>55.846999999999994</v>
      </c>
      <c r="E88" s="1317">
        <f t="shared" si="24"/>
        <v>0</v>
      </c>
      <c r="F88" s="1338">
        <f t="shared" ref="F88:G88" si="26">F90+F92+F94</f>
        <v>0</v>
      </c>
      <c r="G88" s="1338">
        <f t="shared" si="26"/>
        <v>0</v>
      </c>
      <c r="H88" s="822">
        <f>I88</f>
        <v>52.574999999999996</v>
      </c>
      <c r="I88" s="822">
        <f>I92</f>
        <v>52.574999999999996</v>
      </c>
      <c r="J88" s="822">
        <v>0</v>
      </c>
      <c r="K88" s="822">
        <f>L88</f>
        <v>3.2720000000000002</v>
      </c>
      <c r="L88" s="822">
        <f>L92</f>
        <v>3.2720000000000002</v>
      </c>
      <c r="M88" s="822">
        <v>0</v>
      </c>
      <c r="N88" s="1338">
        <f t="shared" ref="N88:X88" si="27">N90+N92+N94</f>
        <v>0</v>
      </c>
      <c r="O88" s="1338">
        <f t="shared" si="27"/>
        <v>0</v>
      </c>
      <c r="P88" s="1338">
        <f t="shared" si="27"/>
        <v>0</v>
      </c>
      <c r="Q88" s="1338">
        <f t="shared" si="27"/>
        <v>0</v>
      </c>
      <c r="R88" s="1338">
        <f t="shared" si="27"/>
        <v>0</v>
      </c>
      <c r="S88" s="1338">
        <f t="shared" si="27"/>
        <v>0</v>
      </c>
      <c r="T88" s="1338">
        <f t="shared" si="27"/>
        <v>0</v>
      </c>
      <c r="U88" s="1338">
        <f t="shared" si="27"/>
        <v>0</v>
      </c>
      <c r="V88" s="1338">
        <f t="shared" si="27"/>
        <v>0</v>
      </c>
      <c r="W88" s="1338">
        <f t="shared" si="27"/>
        <v>0</v>
      </c>
      <c r="X88" s="1338">
        <f t="shared" si="27"/>
        <v>0</v>
      </c>
    </row>
    <row r="89" spans="1:24" ht="16.5" thickTop="1" thickBot="1">
      <c r="A89" s="751">
        <v>20</v>
      </c>
      <c r="B89" s="752" t="s">
        <v>100</v>
      </c>
      <c r="C89" s="808" t="s">
        <v>51</v>
      </c>
      <c r="D89" s="1317">
        <f>H89+K89</f>
        <v>0</v>
      </c>
      <c r="E89" s="1317">
        <f t="shared" si="24"/>
        <v>0</v>
      </c>
      <c r="F89" s="699"/>
      <c r="G89" s="699"/>
      <c r="H89" s="800">
        <v>0</v>
      </c>
      <c r="I89" s="800"/>
      <c r="J89" s="800"/>
      <c r="K89" s="1317"/>
      <c r="L89" s="699"/>
      <c r="M89" s="699"/>
      <c r="N89" s="698">
        <f t="shared" ref="N89:N94" si="28">O89</f>
        <v>0</v>
      </c>
      <c r="O89" s="801"/>
      <c r="P89" s="698">
        <f t="shared" ref="P89:P94" si="29">Q89</f>
        <v>0</v>
      </c>
      <c r="Q89" s="722"/>
      <c r="R89" s="698">
        <f t="shared" ref="R89:R94" si="30">S89+T89</f>
        <v>0</v>
      </c>
      <c r="S89" s="722"/>
      <c r="T89" s="722"/>
      <c r="U89" s="698">
        <f t="shared" ref="U89:U94" si="31">V89</f>
        <v>0</v>
      </c>
      <c r="V89" s="722"/>
      <c r="W89" s="698">
        <f t="shared" ref="W89:W94" si="32">X89</f>
        <v>0</v>
      </c>
      <c r="X89" s="722"/>
    </row>
    <row r="90" spans="1:24" ht="15.75" thickBot="1">
      <c r="A90" s="802"/>
      <c r="B90" s="803" t="s">
        <v>101</v>
      </c>
      <c r="C90" s="790" t="s">
        <v>21</v>
      </c>
      <c r="D90" s="1317">
        <f>H90+K90</f>
        <v>0</v>
      </c>
      <c r="E90" s="1317">
        <f t="shared" si="24"/>
        <v>0</v>
      </c>
      <c r="F90" s="699"/>
      <c r="G90" s="699"/>
      <c r="H90" s="800">
        <v>0</v>
      </c>
      <c r="I90" s="800"/>
      <c r="J90" s="800"/>
      <c r="K90" s="1317"/>
      <c r="L90" s="699"/>
      <c r="M90" s="699"/>
      <c r="N90" s="698">
        <f t="shared" si="28"/>
        <v>0</v>
      </c>
      <c r="O90" s="804"/>
      <c r="P90" s="698">
        <f t="shared" si="29"/>
        <v>0</v>
      </c>
      <c r="Q90" s="720"/>
      <c r="R90" s="698">
        <f t="shared" si="30"/>
        <v>0</v>
      </c>
      <c r="S90" s="720"/>
      <c r="T90" s="720"/>
      <c r="U90" s="698">
        <f t="shared" si="31"/>
        <v>0</v>
      </c>
      <c r="V90" s="720"/>
      <c r="W90" s="698">
        <f t="shared" si="32"/>
        <v>0</v>
      </c>
      <c r="X90" s="720"/>
    </row>
    <row r="91" spans="1:24" ht="15.75" thickBot="1">
      <c r="A91" s="707">
        <v>21</v>
      </c>
      <c r="B91" s="708" t="s">
        <v>102</v>
      </c>
      <c r="C91" s="832" t="s">
        <v>47</v>
      </c>
      <c r="D91" s="1317">
        <f t="shared" si="25"/>
        <v>71</v>
      </c>
      <c r="E91" s="1317">
        <f t="shared" si="24"/>
        <v>0</v>
      </c>
      <c r="F91" s="699"/>
      <c r="G91" s="699"/>
      <c r="H91" s="800">
        <f>I91</f>
        <v>67</v>
      </c>
      <c r="I91" s="800">
        <f>1+1+1+1+1+4+4+5+9+1+1+3+1+3+5+1+1+1+5+1+7+2+2+6</f>
        <v>67</v>
      </c>
      <c r="J91" s="631"/>
      <c r="K91" s="699">
        <f>L91</f>
        <v>4</v>
      </c>
      <c r="L91" s="699">
        <f>1+3</f>
        <v>4</v>
      </c>
      <c r="M91" s="699"/>
      <c r="N91" s="698">
        <f t="shared" si="28"/>
        <v>0</v>
      </c>
      <c r="O91" s="805"/>
      <c r="P91" s="698">
        <f t="shared" si="29"/>
        <v>0</v>
      </c>
      <c r="Q91" s="694"/>
      <c r="R91" s="698">
        <f t="shared" si="30"/>
        <v>0</v>
      </c>
      <c r="S91" s="694"/>
      <c r="T91" s="694"/>
      <c r="U91" s="698">
        <f t="shared" si="31"/>
        <v>0</v>
      </c>
      <c r="V91" s="694"/>
      <c r="W91" s="698">
        <f t="shared" si="32"/>
        <v>0</v>
      </c>
      <c r="X91" s="694"/>
    </row>
    <row r="92" spans="1:24" ht="15.75" thickBot="1">
      <c r="A92" s="806"/>
      <c r="B92" s="739" t="s">
        <v>103</v>
      </c>
      <c r="C92" s="1334" t="s">
        <v>21</v>
      </c>
      <c r="D92" s="1317">
        <f>H92+K92</f>
        <v>55.846999999999994</v>
      </c>
      <c r="E92" s="1317">
        <f t="shared" si="24"/>
        <v>0</v>
      </c>
      <c r="F92" s="699"/>
      <c r="G92" s="699"/>
      <c r="H92" s="800">
        <f>I92</f>
        <v>52.574999999999996</v>
      </c>
      <c r="I92" s="800">
        <f>0.7+0.745+0.7+0.7+0.543+0.841+0.841+1.051+4.886+0.543+0.572+1.628+0.543+2.454+4.092+0.543+1.051+0.7+1.051+1.189+1.473+1.146+22.129+2.454</f>
        <v>52.574999999999996</v>
      </c>
      <c r="J92" s="800"/>
      <c r="K92" s="699">
        <f>L92</f>
        <v>3.2720000000000002</v>
      </c>
      <c r="L92" s="699">
        <f>0.818+2.454</f>
        <v>3.2720000000000002</v>
      </c>
      <c r="M92" s="699"/>
      <c r="N92" s="698">
        <f t="shared" si="28"/>
        <v>0</v>
      </c>
      <c r="O92" s="807"/>
      <c r="P92" s="698">
        <f t="shared" si="29"/>
        <v>0</v>
      </c>
      <c r="Q92" s="720"/>
      <c r="R92" s="698">
        <f t="shared" si="30"/>
        <v>0</v>
      </c>
      <c r="S92" s="720"/>
      <c r="T92" s="720"/>
      <c r="U92" s="698">
        <f t="shared" si="31"/>
        <v>0</v>
      </c>
      <c r="V92" s="720"/>
      <c r="W92" s="698">
        <f t="shared" si="32"/>
        <v>0</v>
      </c>
      <c r="X92" s="720"/>
    </row>
    <row r="93" spans="1:24" ht="15.75" thickBot="1">
      <c r="A93" s="808" t="s">
        <v>104</v>
      </c>
      <c r="B93" s="752" t="s">
        <v>105</v>
      </c>
      <c r="C93" s="808" t="s">
        <v>47</v>
      </c>
      <c r="D93" s="1317">
        <f t="shared" si="25"/>
        <v>0</v>
      </c>
      <c r="E93" s="1317">
        <f t="shared" si="24"/>
        <v>0</v>
      </c>
      <c r="F93" s="699"/>
      <c r="G93" s="699"/>
      <c r="H93" s="800">
        <v>0</v>
      </c>
      <c r="I93" s="800"/>
      <c r="J93" s="800"/>
      <c r="K93" s="1317"/>
      <c r="L93" s="699"/>
      <c r="M93" s="699"/>
      <c r="N93" s="698">
        <f t="shared" si="28"/>
        <v>0</v>
      </c>
      <c r="O93" s="721"/>
      <c r="P93" s="698">
        <f t="shared" si="29"/>
        <v>0</v>
      </c>
      <c r="Q93" s="722"/>
      <c r="R93" s="698">
        <f t="shared" si="30"/>
        <v>0</v>
      </c>
      <c r="S93" s="722"/>
      <c r="T93" s="722"/>
      <c r="U93" s="698">
        <f t="shared" si="31"/>
        <v>0</v>
      </c>
      <c r="V93" s="722"/>
      <c r="W93" s="698">
        <f t="shared" si="32"/>
        <v>0</v>
      </c>
      <c r="X93" s="722"/>
    </row>
    <row r="94" spans="1:24" ht="15.75" thickBot="1">
      <c r="A94" s="809"/>
      <c r="B94" s="810"/>
      <c r="C94" s="809" t="s">
        <v>21</v>
      </c>
      <c r="D94" s="1317">
        <f t="shared" si="25"/>
        <v>0</v>
      </c>
      <c r="E94" s="1317">
        <f t="shared" si="24"/>
        <v>0</v>
      </c>
      <c r="F94" s="699"/>
      <c r="G94" s="699"/>
      <c r="H94" s="800">
        <v>0</v>
      </c>
      <c r="I94" s="800"/>
      <c r="J94" s="800"/>
      <c r="K94" s="1317"/>
      <c r="L94" s="699"/>
      <c r="M94" s="699"/>
      <c r="N94" s="698">
        <f t="shared" si="28"/>
        <v>0</v>
      </c>
      <c r="O94" s="715"/>
      <c r="P94" s="698">
        <f t="shared" si="29"/>
        <v>0</v>
      </c>
      <c r="Q94" s="720"/>
      <c r="R94" s="698">
        <f t="shared" si="30"/>
        <v>0</v>
      </c>
      <c r="S94" s="720"/>
      <c r="T94" s="720"/>
      <c r="U94" s="698">
        <f t="shared" si="31"/>
        <v>0</v>
      </c>
      <c r="V94" s="720"/>
      <c r="W94" s="698">
        <f t="shared" si="32"/>
        <v>0</v>
      </c>
      <c r="X94" s="720"/>
    </row>
    <row r="95" spans="1:24" ht="34.5" thickTop="1" thickBot="1">
      <c r="A95" s="1343" t="s">
        <v>106</v>
      </c>
      <c r="B95" s="1344" t="s">
        <v>107</v>
      </c>
      <c r="C95" s="1343" t="s">
        <v>21</v>
      </c>
      <c r="D95" s="1317">
        <f>D98</f>
        <v>62.780999999999992</v>
      </c>
      <c r="E95" s="1317">
        <f t="shared" si="24"/>
        <v>0</v>
      </c>
      <c r="F95" s="1345">
        <f t="shared" ref="F95:X95" si="33">F96+F97</f>
        <v>0</v>
      </c>
      <c r="G95" s="1345">
        <f t="shared" si="33"/>
        <v>0</v>
      </c>
      <c r="H95" s="1345">
        <f>H98</f>
        <v>53.212999999999994</v>
      </c>
      <c r="I95" s="1345">
        <f>I98</f>
        <v>53.212999999999994</v>
      </c>
      <c r="J95" s="1345">
        <f t="shared" si="33"/>
        <v>0</v>
      </c>
      <c r="K95" s="1345">
        <f>K96+K97+K98</f>
        <v>9.5679999999999996</v>
      </c>
      <c r="L95" s="1345">
        <f>L98</f>
        <v>9.5679999999999996</v>
      </c>
      <c r="M95" s="1345">
        <v>0</v>
      </c>
      <c r="N95" s="1345">
        <f t="shared" si="33"/>
        <v>0</v>
      </c>
      <c r="O95" s="1345">
        <f t="shared" si="33"/>
        <v>0</v>
      </c>
      <c r="P95" s="1345">
        <f t="shared" si="33"/>
        <v>0</v>
      </c>
      <c r="Q95" s="1345">
        <f t="shared" si="33"/>
        <v>0</v>
      </c>
      <c r="R95" s="1345">
        <f t="shared" si="33"/>
        <v>0</v>
      </c>
      <c r="S95" s="1345">
        <f t="shared" si="33"/>
        <v>0</v>
      </c>
      <c r="T95" s="1345">
        <f t="shared" si="33"/>
        <v>0</v>
      </c>
      <c r="U95" s="1345">
        <f t="shared" si="33"/>
        <v>0</v>
      </c>
      <c r="V95" s="1345">
        <f t="shared" si="33"/>
        <v>0</v>
      </c>
      <c r="W95" s="1345">
        <f t="shared" si="33"/>
        <v>0</v>
      </c>
      <c r="X95" s="1345">
        <f t="shared" si="33"/>
        <v>0</v>
      </c>
    </row>
    <row r="96" spans="1:24" ht="16.5" thickTop="1" thickBot="1">
      <c r="A96" s="684" t="s">
        <v>108</v>
      </c>
      <c r="B96" s="814" t="s">
        <v>304</v>
      </c>
      <c r="C96" s="1346" t="s">
        <v>21</v>
      </c>
      <c r="D96" s="1317">
        <f t="shared" si="25"/>
        <v>0</v>
      </c>
      <c r="E96" s="1317">
        <f t="shared" si="24"/>
        <v>0</v>
      </c>
      <c r="F96" s="699"/>
      <c r="G96" s="699"/>
      <c r="H96" s="1317"/>
      <c r="I96" s="699"/>
      <c r="J96" s="699"/>
      <c r="K96" s="1317"/>
      <c r="L96" s="699"/>
      <c r="M96" s="699"/>
      <c r="N96" s="698">
        <f>O96</f>
        <v>0</v>
      </c>
      <c r="O96" s="721"/>
      <c r="P96" s="698">
        <f>Q96</f>
        <v>0</v>
      </c>
      <c r="Q96" s="686"/>
      <c r="R96" s="698">
        <f>S96+T96</f>
        <v>0</v>
      </c>
      <c r="S96" s="686"/>
      <c r="T96" s="686"/>
      <c r="U96" s="698">
        <f>V96</f>
        <v>0</v>
      </c>
      <c r="V96" s="686"/>
      <c r="W96" s="698">
        <f>X96</f>
        <v>0</v>
      </c>
      <c r="X96" s="686"/>
    </row>
    <row r="97" spans="1:24" ht="15.75" thickBot="1">
      <c r="A97" s="816" t="s">
        <v>109</v>
      </c>
      <c r="B97" s="814" t="s">
        <v>305</v>
      </c>
      <c r="C97" s="816" t="s">
        <v>21</v>
      </c>
      <c r="D97" s="1317">
        <f t="shared" si="25"/>
        <v>0</v>
      </c>
      <c r="E97" s="1317">
        <f t="shared" si="24"/>
        <v>0</v>
      </c>
      <c r="F97" s="699"/>
      <c r="G97" s="699"/>
      <c r="H97" s="1317"/>
      <c r="I97" s="699"/>
      <c r="J97" s="699"/>
      <c r="K97" s="1317"/>
      <c r="L97" s="699"/>
      <c r="M97" s="699"/>
      <c r="N97" s="698">
        <f>O97</f>
        <v>0</v>
      </c>
      <c r="O97" s="817"/>
      <c r="P97" s="698">
        <f>Q97</f>
        <v>0</v>
      </c>
      <c r="Q97" s="686"/>
      <c r="R97" s="698">
        <f>S97+T97</f>
        <v>0</v>
      </c>
      <c r="S97" s="686"/>
      <c r="T97" s="686"/>
      <c r="U97" s="698">
        <f>V97</f>
        <v>0</v>
      </c>
      <c r="V97" s="686"/>
      <c r="W97" s="698">
        <f>X97</f>
        <v>0</v>
      </c>
      <c r="X97" s="686"/>
    </row>
    <row r="98" spans="1:24" ht="15.75" thickBot="1">
      <c r="A98" s="816" t="s">
        <v>110</v>
      </c>
      <c r="B98" s="814" t="s">
        <v>111</v>
      </c>
      <c r="C98" s="816" t="s">
        <v>21</v>
      </c>
      <c r="D98" s="1317">
        <f>I98+L98</f>
        <v>62.780999999999992</v>
      </c>
      <c r="E98" s="1317">
        <f t="shared" si="24"/>
        <v>0</v>
      </c>
      <c r="F98" s="699"/>
      <c r="G98" s="699"/>
      <c r="H98" s="699">
        <f>I98</f>
        <v>53.212999999999994</v>
      </c>
      <c r="I98" s="699">
        <f>13.677+4.48+5.462+0.686+0.858+0.395+0.527+2.325+1.09+5.495+4.053+2.653+1.602+2.697+0.17+5.988+1.055</f>
        <v>53.212999999999994</v>
      </c>
      <c r="J98" s="699"/>
      <c r="K98" s="699">
        <f>L98</f>
        <v>9.5679999999999996</v>
      </c>
      <c r="L98" s="699">
        <f>4.106+5.462</f>
        <v>9.5679999999999996</v>
      </c>
      <c r="M98" s="699"/>
      <c r="N98" s="698">
        <f>O98</f>
        <v>0</v>
      </c>
      <c r="O98" s="817"/>
      <c r="P98" s="698">
        <f>Q98</f>
        <v>0</v>
      </c>
      <c r="Q98" s="686"/>
      <c r="R98" s="698">
        <f>S98+T98</f>
        <v>0</v>
      </c>
      <c r="S98" s="686"/>
      <c r="T98" s="686"/>
      <c r="U98" s="698">
        <f>V98</f>
        <v>0</v>
      </c>
      <c r="V98" s="686"/>
      <c r="W98" s="698">
        <f>X98</f>
        <v>0</v>
      </c>
      <c r="X98" s="686"/>
    </row>
    <row r="99" spans="1:24" ht="15.75" thickBot="1">
      <c r="A99" s="818"/>
      <c r="B99" s="819" t="s">
        <v>112</v>
      </c>
      <c r="C99" s="1347" t="s">
        <v>21</v>
      </c>
      <c r="D99" s="1348">
        <f>D14+D73+D88+D95</f>
        <v>2398.2340000000004</v>
      </c>
      <c r="E99" s="1317">
        <f t="shared" si="24"/>
        <v>0</v>
      </c>
      <c r="F99" s="821">
        <f t="shared" ref="F99:X99" si="34">F98+F95+F88+F73+F14</f>
        <v>0</v>
      </c>
      <c r="G99" s="821">
        <f t="shared" si="34"/>
        <v>0</v>
      </c>
      <c r="H99" s="1348">
        <f>H95+H88+H73+H14</f>
        <v>2334.2159999999999</v>
      </c>
      <c r="I99" s="821">
        <f>I95+I88+I73+I14</f>
        <v>1774.5519999999999</v>
      </c>
      <c r="J99" s="821">
        <f>J98+J95+J88+J73+J14</f>
        <v>559.66399999999999</v>
      </c>
      <c r="K99" s="1348">
        <f>L99+M99</f>
        <v>64.018000000000001</v>
      </c>
      <c r="L99" s="821">
        <f>L95+L88+L73+L14</f>
        <v>64.018000000000001</v>
      </c>
      <c r="M99" s="821"/>
      <c r="N99" s="822">
        <f t="shared" si="34"/>
        <v>0</v>
      </c>
      <c r="O99" s="822">
        <f t="shared" si="34"/>
        <v>0</v>
      </c>
      <c r="P99" s="822">
        <f t="shared" si="34"/>
        <v>0</v>
      </c>
      <c r="Q99" s="822">
        <f t="shared" si="34"/>
        <v>0</v>
      </c>
      <c r="R99" s="822">
        <f t="shared" si="34"/>
        <v>0</v>
      </c>
      <c r="S99" s="822">
        <f t="shared" si="34"/>
        <v>0</v>
      </c>
      <c r="T99" s="822">
        <f t="shared" si="34"/>
        <v>0</v>
      </c>
      <c r="U99" s="822">
        <f t="shared" si="34"/>
        <v>0</v>
      </c>
      <c r="V99" s="822">
        <f t="shared" si="34"/>
        <v>0</v>
      </c>
      <c r="W99" s="822">
        <f t="shared" si="34"/>
        <v>0</v>
      </c>
      <c r="X99" s="822">
        <f t="shared" si="34"/>
        <v>0</v>
      </c>
    </row>
    <row r="100" spans="1:24" ht="15.75" thickTop="1">
      <c r="A100" s="823"/>
      <c r="B100" s="824"/>
      <c r="C100" s="824"/>
      <c r="D100" s="824">
        <v>80648.726999999999</v>
      </c>
      <c r="E100" s="824">
        <f>80648.727-D99</f>
        <v>78250.493000000002</v>
      </c>
      <c r="F100" s="824"/>
      <c r="G100" s="824"/>
      <c r="H100" s="824"/>
      <c r="I100" s="824"/>
      <c r="J100" s="824"/>
      <c r="K100" s="824"/>
      <c r="L100" s="824"/>
      <c r="M100" s="824"/>
      <c r="N100" s="824"/>
      <c r="O100" s="824"/>
      <c r="P100" s="824"/>
      <c r="Q100" s="824"/>
      <c r="R100" s="824"/>
      <c r="S100" s="824"/>
      <c r="T100" s="824"/>
      <c r="U100" s="824"/>
      <c r="V100" s="824"/>
      <c r="W100" s="824"/>
      <c r="X100" s="824"/>
    </row>
    <row r="101" spans="1:24">
      <c r="A101" s="825"/>
      <c r="B101" s="825"/>
      <c r="C101" s="825"/>
      <c r="D101" s="1177">
        <f>I52</f>
        <v>11.734</v>
      </c>
      <c r="E101" s="825"/>
      <c r="F101" s="825"/>
      <c r="G101" s="825"/>
      <c r="H101" s="825"/>
      <c r="I101" s="825">
        <f>H98-I98</f>
        <v>0</v>
      </c>
      <c r="J101" s="825">
        <f>I98+E100</f>
        <v>78303.706000000006</v>
      </c>
      <c r="K101" s="825"/>
      <c r="L101" s="825"/>
      <c r="M101" s="825">
        <f>9567.184-K99</f>
        <v>9503.1659999999993</v>
      </c>
      <c r="N101" s="825"/>
      <c r="O101" s="825"/>
      <c r="P101" s="825"/>
      <c r="Q101" s="825"/>
      <c r="R101" s="825"/>
      <c r="S101" s="825"/>
      <c r="T101" s="825"/>
      <c r="U101" s="825"/>
      <c r="V101" s="825"/>
      <c r="W101" s="825"/>
      <c r="X101" s="825"/>
    </row>
    <row r="102" spans="1:24" ht="15.75" thickBot="1">
      <c r="A102" s="1734" t="s">
        <v>113</v>
      </c>
      <c r="B102" s="1734"/>
      <c r="C102" s="1734"/>
      <c r="D102" s="1734"/>
      <c r="E102" s="1734"/>
      <c r="F102" s="1734"/>
      <c r="G102" s="1734"/>
      <c r="H102" s="1734"/>
      <c r="I102" s="1734"/>
      <c r="J102" s="1734"/>
      <c r="K102" s="1734"/>
      <c r="L102" s="1734"/>
      <c r="M102" s="1734"/>
      <c r="N102" s="1734"/>
      <c r="O102" s="1734"/>
      <c r="P102" s="1734"/>
      <c r="Q102" s="1734"/>
      <c r="R102" s="1734"/>
      <c r="S102" s="1734"/>
      <c r="T102" s="1734"/>
      <c r="U102" s="826"/>
      <c r="V102" s="826"/>
      <c r="W102" s="826"/>
      <c r="X102" s="826"/>
    </row>
    <row r="103" spans="1:24" ht="15.75" thickBot="1">
      <c r="A103" s="808" t="s">
        <v>114</v>
      </c>
      <c r="B103" s="752" t="s">
        <v>115</v>
      </c>
      <c r="C103" s="808" t="s">
        <v>47</v>
      </c>
      <c r="D103" s="698">
        <f t="shared" ref="D103:D128" si="35">E103+H103+K103+N103+P103+R103+U103+W103</f>
        <v>0</v>
      </c>
      <c r="E103" s="698">
        <f t="shared" ref="E103:E128" si="36">F103+G103</f>
        <v>0</v>
      </c>
      <c r="F103" s="721"/>
      <c r="G103" s="721"/>
      <c r="H103" s="698">
        <f t="shared" ref="H103:H139" si="37">I103+J103</f>
        <v>0</v>
      </c>
      <c r="I103" s="721"/>
      <c r="J103" s="721"/>
      <c r="K103" s="698">
        <f t="shared" ref="K103:K139" si="38">L103+M103</f>
        <v>0</v>
      </c>
      <c r="L103" s="721"/>
      <c r="M103" s="721"/>
      <c r="N103" s="698">
        <f t="shared" ref="N103:N139" si="39">O103</f>
        <v>0</v>
      </c>
      <c r="O103" s="721"/>
      <c r="P103" s="698">
        <f t="shared" ref="P103:P139" si="40">Q103</f>
        <v>0</v>
      </c>
      <c r="Q103" s="801"/>
      <c r="R103" s="698">
        <f t="shared" ref="R103:R139" si="41">S103+T103</f>
        <v>0</v>
      </c>
      <c r="S103" s="735"/>
      <c r="T103" s="827"/>
      <c r="U103" s="698">
        <f t="shared" ref="U103:U139" si="42">V103</f>
        <v>0</v>
      </c>
      <c r="V103" s="735"/>
      <c r="W103" s="698">
        <f t="shared" ref="W103:W139" si="43">X103</f>
        <v>0</v>
      </c>
      <c r="X103" s="735"/>
    </row>
    <row r="104" spans="1:24" ht="15.75" thickBot="1">
      <c r="A104" s="828"/>
      <c r="B104" s="754" t="s">
        <v>116</v>
      </c>
      <c r="C104" s="828" t="s">
        <v>21</v>
      </c>
      <c r="D104" s="698">
        <f t="shared" si="35"/>
        <v>0</v>
      </c>
      <c r="E104" s="698">
        <f t="shared" si="36"/>
        <v>0</v>
      </c>
      <c r="F104" s="721"/>
      <c r="G104" s="721"/>
      <c r="H104" s="698">
        <f t="shared" si="37"/>
        <v>0</v>
      </c>
      <c r="I104" s="721"/>
      <c r="J104" s="721"/>
      <c r="K104" s="698">
        <f t="shared" si="38"/>
        <v>0</v>
      </c>
      <c r="L104" s="721"/>
      <c r="M104" s="721"/>
      <c r="N104" s="698">
        <f t="shared" si="39"/>
        <v>0</v>
      </c>
      <c r="O104" s="715"/>
      <c r="P104" s="698">
        <f t="shared" si="40"/>
        <v>0</v>
      </c>
      <c r="Q104" s="829"/>
      <c r="R104" s="698">
        <f t="shared" si="41"/>
        <v>0</v>
      </c>
      <c r="S104" s="742"/>
      <c r="T104" s="830"/>
      <c r="U104" s="698">
        <f t="shared" si="42"/>
        <v>0</v>
      </c>
      <c r="V104" s="831"/>
      <c r="W104" s="698">
        <f t="shared" si="43"/>
        <v>0</v>
      </c>
      <c r="X104" s="831"/>
    </row>
    <row r="105" spans="1:24" ht="15.75" thickBot="1">
      <c r="A105" s="808" t="s">
        <v>117</v>
      </c>
      <c r="B105" s="752" t="s">
        <v>118</v>
      </c>
      <c r="C105" s="808" t="s">
        <v>47</v>
      </c>
      <c r="D105" s="698">
        <f t="shared" si="35"/>
        <v>0</v>
      </c>
      <c r="E105" s="698">
        <f t="shared" si="36"/>
        <v>0</v>
      </c>
      <c r="F105" s="721"/>
      <c r="G105" s="721"/>
      <c r="H105" s="698">
        <f t="shared" si="37"/>
        <v>0</v>
      </c>
      <c r="I105" s="721"/>
      <c r="J105" s="721"/>
      <c r="K105" s="698">
        <f t="shared" si="38"/>
        <v>0</v>
      </c>
      <c r="L105" s="721"/>
      <c r="M105" s="721"/>
      <c r="N105" s="698">
        <f t="shared" si="39"/>
        <v>0</v>
      </c>
      <c r="O105" s="721"/>
      <c r="P105" s="698">
        <f t="shared" si="40"/>
        <v>0</v>
      </c>
      <c r="Q105" s="795"/>
      <c r="R105" s="698">
        <f t="shared" si="41"/>
        <v>0</v>
      </c>
      <c r="S105" s="782"/>
      <c r="T105" s="808"/>
      <c r="U105" s="698">
        <f t="shared" si="42"/>
        <v>0</v>
      </c>
      <c r="V105" s="722"/>
      <c r="W105" s="698">
        <f t="shared" si="43"/>
        <v>0</v>
      </c>
      <c r="X105" s="722"/>
    </row>
    <row r="106" spans="1:24" ht="15.75" thickBot="1">
      <c r="A106" s="790"/>
      <c r="B106" s="804"/>
      <c r="C106" s="790" t="s">
        <v>21</v>
      </c>
      <c r="D106" s="698">
        <f t="shared" si="35"/>
        <v>0</v>
      </c>
      <c r="E106" s="698">
        <f t="shared" si="36"/>
        <v>0</v>
      </c>
      <c r="F106" s="721"/>
      <c r="G106" s="721"/>
      <c r="H106" s="698">
        <f t="shared" si="37"/>
        <v>0</v>
      </c>
      <c r="I106" s="721"/>
      <c r="J106" s="721"/>
      <c r="K106" s="698">
        <f t="shared" si="38"/>
        <v>0</v>
      </c>
      <c r="L106" s="721"/>
      <c r="M106" s="721"/>
      <c r="N106" s="698">
        <f t="shared" si="39"/>
        <v>0</v>
      </c>
      <c r="O106" s="719"/>
      <c r="P106" s="698">
        <f t="shared" si="40"/>
        <v>0</v>
      </c>
      <c r="Q106" s="717"/>
      <c r="R106" s="698">
        <f t="shared" si="41"/>
        <v>0</v>
      </c>
      <c r="S106" s="742"/>
      <c r="T106" s="790"/>
      <c r="U106" s="698">
        <f t="shared" si="42"/>
        <v>0</v>
      </c>
      <c r="V106" s="720"/>
      <c r="W106" s="698">
        <f t="shared" si="43"/>
        <v>0</v>
      </c>
      <c r="X106" s="720"/>
    </row>
    <row r="107" spans="1:24" ht="15.75" thickBot="1">
      <c r="A107" s="808" t="s">
        <v>119</v>
      </c>
      <c r="B107" s="752" t="s">
        <v>120</v>
      </c>
      <c r="C107" s="808" t="s">
        <v>47</v>
      </c>
      <c r="D107" s="698">
        <f t="shared" si="35"/>
        <v>0</v>
      </c>
      <c r="E107" s="698">
        <f t="shared" si="36"/>
        <v>0</v>
      </c>
      <c r="F107" s="721"/>
      <c r="G107" s="721"/>
      <c r="H107" s="698">
        <f t="shared" si="37"/>
        <v>0</v>
      </c>
      <c r="I107" s="721"/>
      <c r="J107" s="721"/>
      <c r="K107" s="698">
        <f t="shared" si="38"/>
        <v>0</v>
      </c>
      <c r="L107" s="721"/>
      <c r="M107" s="721"/>
      <c r="N107" s="698">
        <f t="shared" si="39"/>
        <v>0</v>
      </c>
      <c r="O107" s="721"/>
      <c r="P107" s="698">
        <f t="shared" si="40"/>
        <v>0</v>
      </c>
      <c r="Q107" s="795"/>
      <c r="R107" s="698">
        <f t="shared" si="41"/>
        <v>0</v>
      </c>
      <c r="S107" s="735"/>
      <c r="T107" s="808"/>
      <c r="U107" s="698">
        <f t="shared" si="42"/>
        <v>0</v>
      </c>
      <c r="V107" s="722"/>
      <c r="W107" s="698">
        <f t="shared" si="43"/>
        <v>0</v>
      </c>
      <c r="X107" s="722"/>
    </row>
    <row r="108" spans="1:24" ht="15.75" thickBot="1">
      <c r="A108" s="790"/>
      <c r="B108" s="804"/>
      <c r="C108" s="790" t="s">
        <v>21</v>
      </c>
      <c r="D108" s="698">
        <f t="shared" si="35"/>
        <v>0</v>
      </c>
      <c r="E108" s="698">
        <f t="shared" si="36"/>
        <v>0</v>
      </c>
      <c r="F108" s="721"/>
      <c r="G108" s="721"/>
      <c r="H108" s="698">
        <f t="shared" si="37"/>
        <v>0</v>
      </c>
      <c r="I108" s="721"/>
      <c r="J108" s="721"/>
      <c r="K108" s="698">
        <f t="shared" si="38"/>
        <v>0</v>
      </c>
      <c r="L108" s="721"/>
      <c r="M108" s="721"/>
      <c r="N108" s="698">
        <f t="shared" si="39"/>
        <v>0</v>
      </c>
      <c r="O108" s="719"/>
      <c r="P108" s="698">
        <f t="shared" si="40"/>
        <v>0</v>
      </c>
      <c r="Q108" s="717"/>
      <c r="R108" s="698">
        <f t="shared" si="41"/>
        <v>0</v>
      </c>
      <c r="S108" s="742"/>
      <c r="T108" s="790"/>
      <c r="U108" s="698">
        <f t="shared" si="42"/>
        <v>0</v>
      </c>
      <c r="V108" s="720"/>
      <c r="W108" s="698">
        <f t="shared" si="43"/>
        <v>0</v>
      </c>
      <c r="X108" s="720"/>
    </row>
    <row r="109" spans="1:24" ht="15.75" thickBot="1">
      <c r="A109" s="832" t="s">
        <v>121</v>
      </c>
      <c r="B109" s="833" t="s">
        <v>122</v>
      </c>
      <c r="C109" s="832" t="s">
        <v>24</v>
      </c>
      <c r="D109" s="698">
        <f t="shared" si="35"/>
        <v>0</v>
      </c>
      <c r="E109" s="698">
        <f t="shared" si="36"/>
        <v>0</v>
      </c>
      <c r="F109" s="721"/>
      <c r="G109" s="721"/>
      <c r="H109" s="698">
        <f t="shared" si="37"/>
        <v>0</v>
      </c>
      <c r="I109" s="721"/>
      <c r="J109" s="721"/>
      <c r="K109" s="698">
        <f t="shared" si="38"/>
        <v>0</v>
      </c>
      <c r="L109" s="721"/>
      <c r="M109" s="721"/>
      <c r="N109" s="698">
        <f t="shared" si="39"/>
        <v>0</v>
      </c>
      <c r="O109" s="834"/>
      <c r="P109" s="698">
        <f t="shared" si="40"/>
        <v>0</v>
      </c>
      <c r="Q109" s="805"/>
      <c r="R109" s="698">
        <f t="shared" si="41"/>
        <v>0</v>
      </c>
      <c r="S109" s="782"/>
      <c r="T109" s="835"/>
      <c r="U109" s="698">
        <f t="shared" si="42"/>
        <v>0</v>
      </c>
      <c r="V109" s="782"/>
      <c r="W109" s="698">
        <f t="shared" si="43"/>
        <v>0</v>
      </c>
      <c r="X109" s="782"/>
    </row>
    <row r="110" spans="1:24" ht="15.75" thickBot="1">
      <c r="A110" s="790"/>
      <c r="B110" s="803" t="s">
        <v>123</v>
      </c>
      <c r="C110" s="790" t="s">
        <v>21</v>
      </c>
      <c r="D110" s="698">
        <f t="shared" si="35"/>
        <v>0</v>
      </c>
      <c r="E110" s="698">
        <f t="shared" si="36"/>
        <v>0</v>
      </c>
      <c r="F110" s="721"/>
      <c r="G110" s="721"/>
      <c r="H110" s="698">
        <f t="shared" si="37"/>
        <v>0</v>
      </c>
      <c r="I110" s="721"/>
      <c r="J110" s="721"/>
      <c r="K110" s="698">
        <f t="shared" si="38"/>
        <v>0</v>
      </c>
      <c r="L110" s="721"/>
      <c r="M110" s="721"/>
      <c r="N110" s="698">
        <f t="shared" si="39"/>
        <v>0</v>
      </c>
      <c r="O110" s="836"/>
      <c r="P110" s="698">
        <f t="shared" si="40"/>
        <v>0</v>
      </c>
      <c r="Q110" s="807"/>
      <c r="R110" s="698">
        <f t="shared" si="41"/>
        <v>0</v>
      </c>
      <c r="S110" s="837"/>
      <c r="T110" s="838"/>
      <c r="U110" s="698">
        <f t="shared" si="42"/>
        <v>0</v>
      </c>
      <c r="V110" s="837"/>
      <c r="W110" s="698">
        <f t="shared" si="43"/>
        <v>0</v>
      </c>
      <c r="X110" s="837"/>
    </row>
    <row r="111" spans="1:24" ht="15.75" thickBot="1">
      <c r="A111" s="832" t="s">
        <v>124</v>
      </c>
      <c r="B111" s="833" t="s">
        <v>125</v>
      </c>
      <c r="C111" s="832" t="s">
        <v>47</v>
      </c>
      <c r="D111" s="698">
        <f t="shared" si="35"/>
        <v>0</v>
      </c>
      <c r="E111" s="698">
        <f t="shared" si="36"/>
        <v>0</v>
      </c>
      <c r="F111" s="721"/>
      <c r="G111" s="721"/>
      <c r="H111" s="698">
        <f t="shared" si="37"/>
        <v>0</v>
      </c>
      <c r="I111" s="721"/>
      <c r="J111" s="721"/>
      <c r="K111" s="698">
        <f t="shared" si="38"/>
        <v>0</v>
      </c>
      <c r="L111" s="721"/>
      <c r="M111" s="721"/>
      <c r="N111" s="698">
        <f t="shared" si="39"/>
        <v>0</v>
      </c>
      <c r="O111" s="721"/>
      <c r="P111" s="698">
        <f t="shared" si="40"/>
        <v>0</v>
      </c>
      <c r="Q111" s="801"/>
      <c r="R111" s="698">
        <f t="shared" si="41"/>
        <v>0</v>
      </c>
      <c r="S111" s="735"/>
      <c r="T111" s="827"/>
      <c r="U111" s="698">
        <f t="shared" si="42"/>
        <v>0</v>
      </c>
      <c r="V111" s="735"/>
      <c r="W111" s="698">
        <f t="shared" si="43"/>
        <v>0</v>
      </c>
      <c r="X111" s="735"/>
    </row>
    <row r="112" spans="1:24" ht="15.75" thickBot="1">
      <c r="A112" s="809"/>
      <c r="B112" s="810"/>
      <c r="C112" s="809" t="s">
        <v>21</v>
      </c>
      <c r="D112" s="698">
        <f t="shared" si="35"/>
        <v>0</v>
      </c>
      <c r="E112" s="698">
        <f t="shared" si="36"/>
        <v>0</v>
      </c>
      <c r="F112" s="721"/>
      <c r="G112" s="721"/>
      <c r="H112" s="698">
        <f t="shared" si="37"/>
        <v>0</v>
      </c>
      <c r="I112" s="721"/>
      <c r="J112" s="721"/>
      <c r="K112" s="698">
        <f t="shared" si="38"/>
        <v>0</v>
      </c>
      <c r="L112" s="721"/>
      <c r="M112" s="721"/>
      <c r="N112" s="698">
        <f t="shared" si="39"/>
        <v>0</v>
      </c>
      <c r="O112" s="836"/>
      <c r="P112" s="698">
        <f t="shared" si="40"/>
        <v>0</v>
      </c>
      <c r="Q112" s="807"/>
      <c r="R112" s="698">
        <f t="shared" si="41"/>
        <v>0</v>
      </c>
      <c r="S112" s="837"/>
      <c r="T112" s="838"/>
      <c r="U112" s="698">
        <f t="shared" si="42"/>
        <v>0</v>
      </c>
      <c r="V112" s="837"/>
      <c r="W112" s="698">
        <f t="shared" si="43"/>
        <v>0</v>
      </c>
      <c r="X112" s="837"/>
    </row>
    <row r="113" spans="1:24" ht="15.75" thickBot="1">
      <c r="A113" s="808" t="s">
        <v>126</v>
      </c>
      <c r="B113" s="752" t="s">
        <v>127</v>
      </c>
      <c r="C113" s="808" t="s">
        <v>51</v>
      </c>
      <c r="D113" s="698">
        <f t="shared" si="35"/>
        <v>0</v>
      </c>
      <c r="E113" s="698">
        <f t="shared" si="36"/>
        <v>0</v>
      </c>
      <c r="F113" s="721"/>
      <c r="G113" s="721"/>
      <c r="H113" s="698">
        <f t="shared" si="37"/>
        <v>0</v>
      </c>
      <c r="I113" s="721"/>
      <c r="J113" s="721"/>
      <c r="K113" s="698">
        <f t="shared" si="38"/>
        <v>0</v>
      </c>
      <c r="L113" s="721"/>
      <c r="M113" s="721"/>
      <c r="N113" s="698">
        <f t="shared" si="39"/>
        <v>0</v>
      </c>
      <c r="O113" s="721"/>
      <c r="P113" s="698">
        <f t="shared" si="40"/>
        <v>0</v>
      </c>
      <c r="Q113" s="801"/>
      <c r="R113" s="698">
        <f t="shared" si="41"/>
        <v>0</v>
      </c>
      <c r="S113" s="735"/>
      <c r="T113" s="827"/>
      <c r="U113" s="698">
        <f t="shared" si="42"/>
        <v>0</v>
      </c>
      <c r="V113" s="735"/>
      <c r="W113" s="698">
        <f t="shared" si="43"/>
        <v>0</v>
      </c>
      <c r="X113" s="735"/>
    </row>
    <row r="114" spans="1:24" ht="15.75" thickBot="1">
      <c r="A114" s="790"/>
      <c r="B114" s="803"/>
      <c r="C114" s="790" t="s">
        <v>128</v>
      </c>
      <c r="D114" s="698">
        <f t="shared" si="35"/>
        <v>0</v>
      </c>
      <c r="E114" s="698">
        <f t="shared" si="36"/>
        <v>0</v>
      </c>
      <c r="F114" s="721"/>
      <c r="G114" s="721"/>
      <c r="H114" s="698">
        <f t="shared" si="37"/>
        <v>0</v>
      </c>
      <c r="I114" s="721"/>
      <c r="J114" s="721"/>
      <c r="K114" s="698">
        <f t="shared" si="38"/>
        <v>0</v>
      </c>
      <c r="L114" s="721"/>
      <c r="M114" s="721"/>
      <c r="N114" s="698">
        <f t="shared" si="39"/>
        <v>0</v>
      </c>
      <c r="O114" s="719"/>
      <c r="P114" s="698">
        <f t="shared" si="40"/>
        <v>0</v>
      </c>
      <c r="Q114" s="804"/>
      <c r="R114" s="698">
        <f t="shared" si="41"/>
        <v>0</v>
      </c>
      <c r="S114" s="742"/>
      <c r="T114" s="839"/>
      <c r="U114" s="698">
        <f t="shared" si="42"/>
        <v>0</v>
      </c>
      <c r="V114" s="742"/>
      <c r="W114" s="698">
        <f t="shared" si="43"/>
        <v>0</v>
      </c>
      <c r="X114" s="742"/>
    </row>
    <row r="115" spans="1:24" ht="15.75" thickBot="1">
      <c r="A115" s="840">
        <v>7</v>
      </c>
      <c r="B115" s="833" t="s">
        <v>129</v>
      </c>
      <c r="C115" s="832" t="s">
        <v>130</v>
      </c>
      <c r="D115" s="698">
        <f t="shared" si="35"/>
        <v>0</v>
      </c>
      <c r="E115" s="698">
        <f t="shared" si="36"/>
        <v>0</v>
      </c>
      <c r="F115" s="721"/>
      <c r="G115" s="721"/>
      <c r="H115" s="698">
        <f t="shared" si="37"/>
        <v>0</v>
      </c>
      <c r="I115" s="721"/>
      <c r="J115" s="721"/>
      <c r="K115" s="698">
        <f t="shared" si="38"/>
        <v>0</v>
      </c>
      <c r="L115" s="721"/>
      <c r="M115" s="721"/>
      <c r="N115" s="698">
        <f t="shared" si="39"/>
        <v>0</v>
      </c>
      <c r="O115" s="834"/>
      <c r="P115" s="698">
        <f t="shared" si="40"/>
        <v>0</v>
      </c>
      <c r="Q115" s="805"/>
      <c r="R115" s="698">
        <f t="shared" si="41"/>
        <v>0</v>
      </c>
      <c r="S115" s="782"/>
      <c r="T115" s="835"/>
      <c r="U115" s="698">
        <f t="shared" si="42"/>
        <v>0</v>
      </c>
      <c r="V115" s="782"/>
      <c r="W115" s="698">
        <f t="shared" si="43"/>
        <v>0</v>
      </c>
      <c r="X115" s="782"/>
    </row>
    <row r="116" spans="1:24" ht="15.75" thickBot="1">
      <c r="A116" s="790"/>
      <c r="B116" s="804"/>
      <c r="C116" s="790" t="s">
        <v>21</v>
      </c>
      <c r="D116" s="698">
        <f t="shared" si="35"/>
        <v>0</v>
      </c>
      <c r="E116" s="698">
        <f t="shared" si="36"/>
        <v>0</v>
      </c>
      <c r="F116" s="721"/>
      <c r="G116" s="721"/>
      <c r="H116" s="698">
        <f t="shared" si="37"/>
        <v>0</v>
      </c>
      <c r="I116" s="721"/>
      <c r="J116" s="721"/>
      <c r="K116" s="698">
        <f t="shared" si="38"/>
        <v>0</v>
      </c>
      <c r="L116" s="721"/>
      <c r="M116" s="721"/>
      <c r="N116" s="698">
        <f t="shared" si="39"/>
        <v>0</v>
      </c>
      <c r="O116" s="836"/>
      <c r="P116" s="698">
        <f t="shared" si="40"/>
        <v>0</v>
      </c>
      <c r="Q116" s="807"/>
      <c r="R116" s="698">
        <f t="shared" si="41"/>
        <v>0</v>
      </c>
      <c r="S116" s="837"/>
      <c r="T116" s="838"/>
      <c r="U116" s="698">
        <f t="shared" si="42"/>
        <v>0</v>
      </c>
      <c r="V116" s="837"/>
      <c r="W116" s="698">
        <f t="shared" si="43"/>
        <v>0</v>
      </c>
      <c r="X116" s="837"/>
    </row>
    <row r="117" spans="1:24" ht="15.75" thickBot="1">
      <c r="A117" s="841">
        <v>8</v>
      </c>
      <c r="B117" s="752" t="s">
        <v>131</v>
      </c>
      <c r="C117" s="808" t="s">
        <v>47</v>
      </c>
      <c r="D117" s="698">
        <f t="shared" si="35"/>
        <v>0</v>
      </c>
      <c r="E117" s="698">
        <f t="shared" si="36"/>
        <v>0</v>
      </c>
      <c r="F117" s="721"/>
      <c r="G117" s="721"/>
      <c r="H117" s="698">
        <f t="shared" si="37"/>
        <v>0</v>
      </c>
      <c r="I117" s="721"/>
      <c r="J117" s="721"/>
      <c r="K117" s="698">
        <f t="shared" si="38"/>
        <v>0</v>
      </c>
      <c r="L117" s="721"/>
      <c r="M117" s="721"/>
      <c r="N117" s="698">
        <f t="shared" si="39"/>
        <v>0</v>
      </c>
      <c r="O117" s="721"/>
      <c r="P117" s="698">
        <f t="shared" si="40"/>
        <v>0</v>
      </c>
      <c r="Q117" s="801"/>
      <c r="R117" s="698">
        <f t="shared" si="41"/>
        <v>0</v>
      </c>
      <c r="S117" s="735"/>
      <c r="T117" s="827"/>
      <c r="U117" s="698">
        <f t="shared" si="42"/>
        <v>0</v>
      </c>
      <c r="V117" s="735"/>
      <c r="W117" s="698">
        <f t="shared" si="43"/>
        <v>0</v>
      </c>
      <c r="X117" s="735"/>
    </row>
    <row r="118" spans="1:24" ht="15.75" thickBot="1">
      <c r="A118" s="797"/>
      <c r="B118" s="803" t="s">
        <v>132</v>
      </c>
      <c r="C118" s="790" t="s">
        <v>21</v>
      </c>
      <c r="D118" s="698">
        <f t="shared" si="35"/>
        <v>0</v>
      </c>
      <c r="E118" s="698">
        <f t="shared" si="36"/>
        <v>0</v>
      </c>
      <c r="F118" s="721"/>
      <c r="G118" s="721"/>
      <c r="H118" s="698">
        <f t="shared" si="37"/>
        <v>0</v>
      </c>
      <c r="I118" s="721"/>
      <c r="J118" s="721"/>
      <c r="K118" s="698">
        <f t="shared" si="38"/>
        <v>0</v>
      </c>
      <c r="L118" s="721"/>
      <c r="M118" s="721"/>
      <c r="N118" s="698">
        <f t="shared" si="39"/>
        <v>0</v>
      </c>
      <c r="O118" s="836"/>
      <c r="P118" s="698">
        <f t="shared" si="40"/>
        <v>0</v>
      </c>
      <c r="Q118" s="807"/>
      <c r="R118" s="698">
        <f t="shared" si="41"/>
        <v>0</v>
      </c>
      <c r="S118" s="837"/>
      <c r="T118" s="838"/>
      <c r="U118" s="698">
        <f t="shared" si="42"/>
        <v>0</v>
      </c>
      <c r="V118" s="837"/>
      <c r="W118" s="698">
        <f t="shared" si="43"/>
        <v>0</v>
      </c>
      <c r="X118" s="837"/>
    </row>
    <row r="119" spans="1:24" ht="15.75" thickBot="1">
      <c r="A119" s="841">
        <v>9</v>
      </c>
      <c r="B119" s="752" t="s">
        <v>133</v>
      </c>
      <c r="C119" s="808" t="s">
        <v>134</v>
      </c>
      <c r="D119" s="698">
        <f t="shared" si="35"/>
        <v>0</v>
      </c>
      <c r="E119" s="698">
        <f t="shared" si="36"/>
        <v>0</v>
      </c>
      <c r="F119" s="721"/>
      <c r="G119" s="721"/>
      <c r="H119" s="698">
        <f t="shared" si="37"/>
        <v>0</v>
      </c>
      <c r="I119" s="721"/>
      <c r="J119" s="721"/>
      <c r="K119" s="698">
        <f t="shared" si="38"/>
        <v>0</v>
      </c>
      <c r="L119" s="721"/>
      <c r="M119" s="721"/>
      <c r="N119" s="698">
        <f t="shared" si="39"/>
        <v>0</v>
      </c>
      <c r="O119" s="721"/>
      <c r="P119" s="698">
        <f t="shared" si="40"/>
        <v>0</v>
      </c>
      <c r="Q119" s="801"/>
      <c r="R119" s="698">
        <f t="shared" si="41"/>
        <v>0</v>
      </c>
      <c r="S119" s="735"/>
      <c r="T119" s="827"/>
      <c r="U119" s="698">
        <f t="shared" si="42"/>
        <v>0</v>
      </c>
      <c r="V119" s="735"/>
      <c r="W119" s="698">
        <f t="shared" si="43"/>
        <v>0</v>
      </c>
      <c r="X119" s="735"/>
    </row>
    <row r="120" spans="1:24" ht="15.75" thickBot="1">
      <c r="A120" s="790"/>
      <c r="B120" s="803" t="s">
        <v>135</v>
      </c>
      <c r="C120" s="790" t="s">
        <v>21</v>
      </c>
      <c r="D120" s="698">
        <f t="shared" si="35"/>
        <v>0</v>
      </c>
      <c r="E120" s="698">
        <f t="shared" si="36"/>
        <v>0</v>
      </c>
      <c r="F120" s="721"/>
      <c r="G120" s="721"/>
      <c r="H120" s="698">
        <f t="shared" si="37"/>
        <v>0</v>
      </c>
      <c r="I120" s="721"/>
      <c r="J120" s="721"/>
      <c r="K120" s="698">
        <f t="shared" si="38"/>
        <v>0</v>
      </c>
      <c r="L120" s="721"/>
      <c r="M120" s="721"/>
      <c r="N120" s="698">
        <f t="shared" si="39"/>
        <v>0</v>
      </c>
      <c r="O120" s="836"/>
      <c r="P120" s="698">
        <f t="shared" si="40"/>
        <v>0</v>
      </c>
      <c r="Q120" s="807"/>
      <c r="R120" s="698">
        <f t="shared" si="41"/>
        <v>0</v>
      </c>
      <c r="S120" s="837"/>
      <c r="T120" s="838"/>
      <c r="U120" s="698">
        <f t="shared" si="42"/>
        <v>0</v>
      </c>
      <c r="V120" s="837"/>
      <c r="W120" s="698">
        <f t="shared" si="43"/>
        <v>0</v>
      </c>
      <c r="X120" s="837"/>
    </row>
    <row r="121" spans="1:24" ht="15.75" thickBot="1">
      <c r="A121" s="808" t="s">
        <v>136</v>
      </c>
      <c r="B121" s="792" t="s">
        <v>137</v>
      </c>
      <c r="C121" s="801" t="s">
        <v>21</v>
      </c>
      <c r="D121" s="698">
        <f t="shared" si="35"/>
        <v>0</v>
      </c>
      <c r="E121" s="698">
        <f t="shared" si="36"/>
        <v>0</v>
      </c>
      <c r="F121" s="721"/>
      <c r="G121" s="721"/>
      <c r="H121" s="698">
        <f t="shared" si="37"/>
        <v>0</v>
      </c>
      <c r="I121" s="721">
        <v>0</v>
      </c>
      <c r="J121" s="721"/>
      <c r="K121" s="698">
        <f t="shared" si="38"/>
        <v>0</v>
      </c>
      <c r="L121" s="721"/>
      <c r="M121" s="721"/>
      <c r="N121" s="698">
        <f t="shared" si="39"/>
        <v>0</v>
      </c>
      <c r="O121" s="721"/>
      <c r="P121" s="698">
        <f t="shared" si="40"/>
        <v>0</v>
      </c>
      <c r="Q121" s="842"/>
      <c r="R121" s="698">
        <f t="shared" si="41"/>
        <v>0</v>
      </c>
      <c r="S121" s="735"/>
      <c r="T121" s="843"/>
      <c r="U121" s="698">
        <f t="shared" si="42"/>
        <v>0</v>
      </c>
      <c r="V121" s="722"/>
      <c r="W121" s="698">
        <f t="shared" si="43"/>
        <v>0</v>
      </c>
      <c r="X121" s="722"/>
    </row>
    <row r="122" spans="1:24" ht="15.75" thickBot="1">
      <c r="A122" s="786" t="s">
        <v>138</v>
      </c>
      <c r="B122" s="783" t="s">
        <v>139</v>
      </c>
      <c r="C122" s="832" t="s">
        <v>21</v>
      </c>
      <c r="D122" s="698">
        <f t="shared" si="35"/>
        <v>0</v>
      </c>
      <c r="E122" s="698">
        <f t="shared" si="36"/>
        <v>0</v>
      </c>
      <c r="F122" s="721"/>
      <c r="G122" s="721"/>
      <c r="H122" s="698">
        <f t="shared" si="37"/>
        <v>0</v>
      </c>
      <c r="I122" s="721"/>
      <c r="J122" s="721"/>
      <c r="K122" s="698">
        <f t="shared" si="38"/>
        <v>0</v>
      </c>
      <c r="L122" s="721"/>
      <c r="M122" s="721"/>
      <c r="N122" s="698">
        <f t="shared" si="39"/>
        <v>0</v>
      </c>
      <c r="O122" s="834"/>
      <c r="P122" s="698">
        <f t="shared" si="40"/>
        <v>0</v>
      </c>
      <c r="Q122" s="844"/>
      <c r="R122" s="698">
        <f t="shared" si="41"/>
        <v>0</v>
      </c>
      <c r="S122" s="782"/>
      <c r="T122" s="834"/>
      <c r="U122" s="698">
        <f t="shared" si="42"/>
        <v>0</v>
      </c>
      <c r="V122" s="694"/>
      <c r="W122" s="698">
        <f t="shared" si="43"/>
        <v>0</v>
      </c>
      <c r="X122" s="694"/>
    </row>
    <row r="123" spans="1:24" ht="15.75" thickBot="1">
      <c r="A123" s="845" t="s">
        <v>140</v>
      </c>
      <c r="B123" s="846" t="s">
        <v>141</v>
      </c>
      <c r="C123" s="845" t="s">
        <v>21</v>
      </c>
      <c r="D123" s="698">
        <f t="shared" si="35"/>
        <v>0</v>
      </c>
      <c r="E123" s="698">
        <f t="shared" si="36"/>
        <v>0</v>
      </c>
      <c r="F123" s="721"/>
      <c r="G123" s="721"/>
      <c r="H123" s="698">
        <f t="shared" si="37"/>
        <v>0</v>
      </c>
      <c r="I123" s="721"/>
      <c r="J123" s="721"/>
      <c r="K123" s="698">
        <f t="shared" si="38"/>
        <v>0</v>
      </c>
      <c r="L123" s="721"/>
      <c r="M123" s="721"/>
      <c r="N123" s="698">
        <f t="shared" si="39"/>
        <v>0</v>
      </c>
      <c r="O123" s="736"/>
      <c r="P123" s="698">
        <f t="shared" si="40"/>
        <v>0</v>
      </c>
      <c r="Q123" s="744"/>
      <c r="R123" s="698">
        <f t="shared" si="41"/>
        <v>0</v>
      </c>
      <c r="S123" s="760"/>
      <c r="T123" s="736"/>
      <c r="U123" s="698">
        <f t="shared" si="42"/>
        <v>0</v>
      </c>
      <c r="V123" s="737"/>
      <c r="W123" s="698">
        <f t="shared" si="43"/>
        <v>0</v>
      </c>
      <c r="X123" s="737"/>
    </row>
    <row r="124" spans="1:24" ht="15.75" thickBot="1">
      <c r="A124" s="816" t="s">
        <v>142</v>
      </c>
      <c r="B124" s="847" t="s">
        <v>143</v>
      </c>
      <c r="C124" s="816" t="s">
        <v>21</v>
      </c>
      <c r="D124" s="698">
        <f t="shared" si="35"/>
        <v>0</v>
      </c>
      <c r="E124" s="698">
        <f t="shared" si="36"/>
        <v>0</v>
      </c>
      <c r="F124" s="721"/>
      <c r="G124" s="721"/>
      <c r="H124" s="698">
        <f t="shared" si="37"/>
        <v>0</v>
      </c>
      <c r="I124" s="721"/>
      <c r="J124" s="721"/>
      <c r="K124" s="698">
        <f t="shared" si="38"/>
        <v>0</v>
      </c>
      <c r="L124" s="721"/>
      <c r="M124" s="721"/>
      <c r="N124" s="698">
        <f t="shared" si="39"/>
        <v>0</v>
      </c>
      <c r="O124" s="817"/>
      <c r="P124" s="698">
        <f t="shared" si="40"/>
        <v>0</v>
      </c>
      <c r="Q124" s="848"/>
      <c r="R124" s="698">
        <f t="shared" si="41"/>
        <v>0</v>
      </c>
      <c r="S124" s="849"/>
      <c r="T124" s="817"/>
      <c r="U124" s="698">
        <f t="shared" si="42"/>
        <v>0</v>
      </c>
      <c r="V124" s="686"/>
      <c r="W124" s="698">
        <f t="shared" si="43"/>
        <v>0</v>
      </c>
      <c r="X124" s="686"/>
    </row>
    <row r="125" spans="1:24" ht="15.75" thickBot="1">
      <c r="A125" s="731">
        <v>13</v>
      </c>
      <c r="B125" s="846" t="s">
        <v>144</v>
      </c>
      <c r="C125" s="845" t="s">
        <v>21</v>
      </c>
      <c r="D125" s="698">
        <f t="shared" si="35"/>
        <v>0</v>
      </c>
      <c r="E125" s="698">
        <f t="shared" si="36"/>
        <v>0</v>
      </c>
      <c r="F125" s="721"/>
      <c r="G125" s="721"/>
      <c r="H125" s="698">
        <f t="shared" si="37"/>
        <v>0</v>
      </c>
      <c r="I125" s="721"/>
      <c r="J125" s="721"/>
      <c r="K125" s="698">
        <f t="shared" si="38"/>
        <v>0</v>
      </c>
      <c r="L125" s="721"/>
      <c r="M125" s="721"/>
      <c r="N125" s="698">
        <f t="shared" si="39"/>
        <v>0</v>
      </c>
      <c r="O125" s="736"/>
      <c r="P125" s="698">
        <f t="shared" si="40"/>
        <v>0</v>
      </c>
      <c r="Q125" s="744"/>
      <c r="R125" s="698">
        <f t="shared" si="41"/>
        <v>0</v>
      </c>
      <c r="S125" s="760"/>
      <c r="T125" s="736"/>
      <c r="U125" s="698">
        <f t="shared" si="42"/>
        <v>0</v>
      </c>
      <c r="V125" s="737"/>
      <c r="W125" s="698">
        <f t="shared" si="43"/>
        <v>0</v>
      </c>
      <c r="X125" s="737"/>
    </row>
    <row r="126" spans="1:24" ht="15.75" thickBot="1">
      <c r="A126" s="731">
        <v>14</v>
      </c>
      <c r="B126" s="850" t="s">
        <v>145</v>
      </c>
      <c r="C126" s="845" t="s">
        <v>21</v>
      </c>
      <c r="D126" s="698">
        <f t="shared" si="35"/>
        <v>0</v>
      </c>
      <c r="E126" s="698">
        <f t="shared" si="36"/>
        <v>0</v>
      </c>
      <c r="F126" s="721"/>
      <c r="G126" s="721"/>
      <c r="H126" s="698">
        <f t="shared" si="37"/>
        <v>0</v>
      </c>
      <c r="I126" s="721">
        <v>0</v>
      </c>
      <c r="J126" s="721"/>
      <c r="K126" s="698">
        <f t="shared" si="38"/>
        <v>0</v>
      </c>
      <c r="L126" s="721"/>
      <c r="M126" s="721"/>
      <c r="N126" s="698">
        <f t="shared" si="39"/>
        <v>0</v>
      </c>
      <c r="O126" s="736"/>
      <c r="P126" s="698">
        <f t="shared" si="40"/>
        <v>0</v>
      </c>
      <c r="Q126" s="744"/>
      <c r="R126" s="698">
        <f t="shared" si="41"/>
        <v>0</v>
      </c>
      <c r="S126" s="760"/>
      <c r="T126" s="736"/>
      <c r="U126" s="698">
        <f t="shared" si="42"/>
        <v>0</v>
      </c>
      <c r="V126" s="737"/>
      <c r="W126" s="698">
        <f t="shared" si="43"/>
        <v>0</v>
      </c>
      <c r="X126" s="737"/>
    </row>
    <row r="127" spans="1:24" ht="15.75" thickBot="1">
      <c r="A127" s="816" t="s">
        <v>146</v>
      </c>
      <c r="B127" s="847" t="s">
        <v>147</v>
      </c>
      <c r="C127" s="816" t="s">
        <v>21</v>
      </c>
      <c r="D127" s="698">
        <f t="shared" si="35"/>
        <v>0</v>
      </c>
      <c r="E127" s="698">
        <f t="shared" si="36"/>
        <v>0</v>
      </c>
      <c r="F127" s="721"/>
      <c r="G127" s="721"/>
      <c r="H127" s="698">
        <f t="shared" si="37"/>
        <v>0</v>
      </c>
      <c r="I127" s="721">
        <v>0</v>
      </c>
      <c r="J127" s="721"/>
      <c r="K127" s="698">
        <f t="shared" si="38"/>
        <v>0</v>
      </c>
      <c r="L127" s="721"/>
      <c r="M127" s="721"/>
      <c r="N127" s="698">
        <f t="shared" si="39"/>
        <v>0</v>
      </c>
      <c r="O127" s="817"/>
      <c r="P127" s="698">
        <f t="shared" si="40"/>
        <v>0</v>
      </c>
      <c r="Q127" s="848"/>
      <c r="R127" s="698">
        <f t="shared" si="41"/>
        <v>0</v>
      </c>
      <c r="S127" s="849"/>
      <c r="T127" s="817"/>
      <c r="U127" s="698">
        <f t="shared" si="42"/>
        <v>0</v>
      </c>
      <c r="V127" s="686"/>
      <c r="W127" s="698">
        <f t="shared" si="43"/>
        <v>0</v>
      </c>
      <c r="X127" s="686"/>
    </row>
    <row r="128" spans="1:24">
      <c r="A128" s="841">
        <v>16</v>
      </c>
      <c r="B128" s="752" t="s">
        <v>148</v>
      </c>
      <c r="C128" s="808" t="s">
        <v>21</v>
      </c>
      <c r="D128" s="698">
        <f t="shared" si="35"/>
        <v>0</v>
      </c>
      <c r="E128" s="698">
        <f t="shared" si="36"/>
        <v>0</v>
      </c>
      <c r="F128" s="721"/>
      <c r="G128" s="721"/>
      <c r="H128" s="698">
        <f t="shared" si="37"/>
        <v>0</v>
      </c>
      <c r="I128" s="721">
        <v>0</v>
      </c>
      <c r="J128" s="721"/>
      <c r="K128" s="698">
        <f t="shared" si="38"/>
        <v>0</v>
      </c>
      <c r="L128" s="721"/>
      <c r="M128" s="721"/>
      <c r="N128" s="698">
        <f t="shared" si="39"/>
        <v>0</v>
      </c>
      <c r="O128" s="722"/>
      <c r="P128" s="698">
        <f t="shared" si="40"/>
        <v>0</v>
      </c>
      <c r="Q128" s="851"/>
      <c r="R128" s="698">
        <f t="shared" si="41"/>
        <v>0</v>
      </c>
      <c r="S128" s="735"/>
      <c r="T128" s="722"/>
      <c r="U128" s="698">
        <f t="shared" si="42"/>
        <v>0</v>
      </c>
      <c r="V128" s="722"/>
      <c r="W128" s="698">
        <f t="shared" si="43"/>
        <v>0</v>
      </c>
      <c r="X128" s="722"/>
    </row>
    <row r="129" spans="1:24" ht="15.75" thickBot="1">
      <c r="A129" s="786" t="s">
        <v>149</v>
      </c>
      <c r="B129" s="852" t="s">
        <v>150</v>
      </c>
      <c r="C129" s="786" t="s">
        <v>128</v>
      </c>
      <c r="D129" s="698">
        <f>D131+D133+D135+D137</f>
        <v>0</v>
      </c>
      <c r="E129" s="698">
        <f>E131+E133+E135+E137</f>
        <v>0</v>
      </c>
      <c r="F129" s="698">
        <f>F131+F133+F135+F137</f>
        <v>0</v>
      </c>
      <c r="G129" s="698">
        <f>G131+G133+G135+G137</f>
        <v>0</v>
      </c>
      <c r="H129" s="698">
        <f t="shared" si="37"/>
        <v>0</v>
      </c>
      <c r="I129" s="698">
        <f>I131+I133+I135+I137</f>
        <v>0</v>
      </c>
      <c r="J129" s="698">
        <f>J131+J133+J135+J137</f>
        <v>0</v>
      </c>
      <c r="K129" s="698">
        <f t="shared" si="38"/>
        <v>0</v>
      </c>
      <c r="L129" s="698">
        <f>L131+L133+L135+L137</f>
        <v>0</v>
      </c>
      <c r="M129" s="698">
        <f>M131+M133+M135+M137</f>
        <v>0</v>
      </c>
      <c r="N129" s="698">
        <f t="shared" si="39"/>
        <v>0</v>
      </c>
      <c r="O129" s="698">
        <f>O131+O133+O135+O137</f>
        <v>0</v>
      </c>
      <c r="P129" s="698">
        <f t="shared" si="40"/>
        <v>0</v>
      </c>
      <c r="Q129" s="698">
        <f>Q131+Q133+Q135+Q137</f>
        <v>0</v>
      </c>
      <c r="R129" s="698">
        <f t="shared" si="41"/>
        <v>0</v>
      </c>
      <c r="S129" s="698">
        <f>S131+S133+S135+S137</f>
        <v>0</v>
      </c>
      <c r="T129" s="698">
        <f>T131+T133+T135+T137</f>
        <v>0</v>
      </c>
      <c r="U129" s="698">
        <f t="shared" si="42"/>
        <v>0</v>
      </c>
      <c r="V129" s="698">
        <f>V131+V133+V135+V137</f>
        <v>0</v>
      </c>
      <c r="W129" s="698">
        <f t="shared" si="43"/>
        <v>0</v>
      </c>
      <c r="X129" s="698">
        <f>X131+X133+X135+X137</f>
        <v>0</v>
      </c>
    </row>
    <row r="130" spans="1:24" ht="15.75" thickBot="1">
      <c r="A130" s="786" t="s">
        <v>151</v>
      </c>
      <c r="B130" s="852" t="s">
        <v>152</v>
      </c>
      <c r="C130" s="786" t="s">
        <v>47</v>
      </c>
      <c r="D130" s="698">
        <f t="shared" ref="D130:D139" si="44">E130+H130+K130+N130+P130+R130+U130+W130</f>
        <v>0</v>
      </c>
      <c r="E130" s="698">
        <f t="shared" ref="E130:E139" si="45">F130+G130</f>
        <v>0</v>
      </c>
      <c r="F130" s="721"/>
      <c r="G130" s="721"/>
      <c r="H130" s="698">
        <f t="shared" si="37"/>
        <v>0</v>
      </c>
      <c r="I130" s="721"/>
      <c r="J130" s="721"/>
      <c r="K130" s="698">
        <f t="shared" si="38"/>
        <v>0</v>
      </c>
      <c r="L130" s="721"/>
      <c r="M130" s="721"/>
      <c r="N130" s="698">
        <f t="shared" si="39"/>
        <v>0</v>
      </c>
      <c r="O130" s="834"/>
      <c r="P130" s="698">
        <f t="shared" si="40"/>
        <v>0</v>
      </c>
      <c r="Q130" s="844"/>
      <c r="R130" s="698">
        <f t="shared" si="41"/>
        <v>0</v>
      </c>
      <c r="S130" s="782"/>
      <c r="T130" s="834"/>
      <c r="U130" s="698">
        <f t="shared" si="42"/>
        <v>0</v>
      </c>
      <c r="V130" s="694"/>
      <c r="W130" s="698">
        <f t="shared" si="43"/>
        <v>0</v>
      </c>
      <c r="X130" s="694"/>
    </row>
    <row r="131" spans="1:24" ht="15.75" thickBot="1">
      <c r="A131" s="786"/>
      <c r="B131" s="852"/>
      <c r="C131" s="786" t="s">
        <v>21</v>
      </c>
      <c r="D131" s="698">
        <f t="shared" si="44"/>
        <v>0</v>
      </c>
      <c r="E131" s="698">
        <f t="shared" si="45"/>
        <v>0</v>
      </c>
      <c r="F131" s="721"/>
      <c r="G131" s="721"/>
      <c r="H131" s="698">
        <f t="shared" si="37"/>
        <v>0</v>
      </c>
      <c r="I131" s="721"/>
      <c r="J131" s="721"/>
      <c r="K131" s="698">
        <f t="shared" si="38"/>
        <v>0</v>
      </c>
      <c r="L131" s="721"/>
      <c r="M131" s="721"/>
      <c r="N131" s="698">
        <f t="shared" si="39"/>
        <v>0</v>
      </c>
      <c r="O131" s="787"/>
      <c r="P131" s="698">
        <f t="shared" si="40"/>
        <v>0</v>
      </c>
      <c r="Q131" s="853"/>
      <c r="R131" s="698">
        <f t="shared" si="41"/>
        <v>0</v>
      </c>
      <c r="S131" s="714"/>
      <c r="T131" s="787"/>
      <c r="U131" s="698">
        <f t="shared" si="42"/>
        <v>0</v>
      </c>
      <c r="V131" s="698"/>
      <c r="W131" s="698">
        <f t="shared" si="43"/>
        <v>0</v>
      </c>
      <c r="X131" s="698"/>
    </row>
    <row r="132" spans="1:24" ht="15.75" thickBot="1">
      <c r="A132" s="786" t="s">
        <v>153</v>
      </c>
      <c r="B132" s="852" t="s">
        <v>154</v>
      </c>
      <c r="C132" s="786" t="s">
        <v>47</v>
      </c>
      <c r="D132" s="698">
        <f t="shared" si="44"/>
        <v>0</v>
      </c>
      <c r="E132" s="698">
        <f t="shared" si="45"/>
        <v>0</v>
      </c>
      <c r="F132" s="721"/>
      <c r="G132" s="721"/>
      <c r="H132" s="698">
        <f t="shared" si="37"/>
        <v>0</v>
      </c>
      <c r="I132" s="721"/>
      <c r="J132" s="721"/>
      <c r="K132" s="698">
        <f t="shared" si="38"/>
        <v>0</v>
      </c>
      <c r="L132" s="721"/>
      <c r="M132" s="721"/>
      <c r="N132" s="698">
        <f t="shared" si="39"/>
        <v>0</v>
      </c>
      <c r="O132" s="787"/>
      <c r="P132" s="698">
        <f t="shared" si="40"/>
        <v>0</v>
      </c>
      <c r="Q132" s="853"/>
      <c r="R132" s="698">
        <f t="shared" si="41"/>
        <v>0</v>
      </c>
      <c r="S132" s="714"/>
      <c r="T132" s="787"/>
      <c r="U132" s="698">
        <f t="shared" si="42"/>
        <v>0</v>
      </c>
      <c r="V132" s="698"/>
      <c r="W132" s="698">
        <f t="shared" si="43"/>
        <v>0</v>
      </c>
      <c r="X132" s="698"/>
    </row>
    <row r="133" spans="1:24" ht="15.75" thickBot="1">
      <c r="A133" s="786"/>
      <c r="B133" s="852"/>
      <c r="C133" s="786" t="s">
        <v>155</v>
      </c>
      <c r="D133" s="698">
        <f t="shared" si="44"/>
        <v>0</v>
      </c>
      <c r="E133" s="698">
        <f t="shared" si="45"/>
        <v>0</v>
      </c>
      <c r="F133" s="721"/>
      <c r="G133" s="721"/>
      <c r="H133" s="698">
        <f t="shared" si="37"/>
        <v>0</v>
      </c>
      <c r="I133" s="721"/>
      <c r="J133" s="721"/>
      <c r="K133" s="698">
        <f t="shared" si="38"/>
        <v>0</v>
      </c>
      <c r="L133" s="721"/>
      <c r="M133" s="721"/>
      <c r="N133" s="698">
        <f t="shared" si="39"/>
        <v>0</v>
      </c>
      <c r="O133" s="787"/>
      <c r="P133" s="698">
        <f t="shared" si="40"/>
        <v>0</v>
      </c>
      <c r="Q133" s="853"/>
      <c r="R133" s="698">
        <f t="shared" si="41"/>
        <v>0</v>
      </c>
      <c r="S133" s="714"/>
      <c r="T133" s="787"/>
      <c r="U133" s="698">
        <f t="shared" si="42"/>
        <v>0</v>
      </c>
      <c r="V133" s="698"/>
      <c r="W133" s="698">
        <f t="shared" si="43"/>
        <v>0</v>
      </c>
      <c r="X133" s="698"/>
    </row>
    <row r="134" spans="1:24" ht="15.75" thickBot="1">
      <c r="A134" s="786" t="s">
        <v>156</v>
      </c>
      <c r="B134" s="852" t="s">
        <v>157</v>
      </c>
      <c r="C134" s="786" t="s">
        <v>47</v>
      </c>
      <c r="D134" s="698">
        <f t="shared" si="44"/>
        <v>0</v>
      </c>
      <c r="E134" s="698">
        <f t="shared" si="45"/>
        <v>0</v>
      </c>
      <c r="F134" s="721"/>
      <c r="G134" s="721"/>
      <c r="H134" s="698">
        <f t="shared" si="37"/>
        <v>0</v>
      </c>
      <c r="I134" s="721"/>
      <c r="J134" s="721"/>
      <c r="K134" s="698">
        <f t="shared" si="38"/>
        <v>0</v>
      </c>
      <c r="L134" s="721"/>
      <c r="M134" s="721"/>
      <c r="N134" s="698">
        <f t="shared" si="39"/>
        <v>0</v>
      </c>
      <c r="O134" s="787"/>
      <c r="P134" s="698">
        <f t="shared" si="40"/>
        <v>0</v>
      </c>
      <c r="Q134" s="853"/>
      <c r="R134" s="698">
        <f t="shared" si="41"/>
        <v>0</v>
      </c>
      <c r="S134" s="714"/>
      <c r="T134" s="787"/>
      <c r="U134" s="698">
        <f t="shared" si="42"/>
        <v>0</v>
      </c>
      <c r="V134" s="698"/>
      <c r="W134" s="698">
        <f t="shared" si="43"/>
        <v>0</v>
      </c>
      <c r="X134" s="698"/>
    </row>
    <row r="135" spans="1:24" ht="15.75" thickBot="1">
      <c r="A135" s="786"/>
      <c r="B135" s="786" t="s">
        <v>158</v>
      </c>
      <c r="C135" s="786" t="s">
        <v>21</v>
      </c>
      <c r="D135" s="698">
        <f t="shared" si="44"/>
        <v>0</v>
      </c>
      <c r="E135" s="698">
        <f t="shared" si="45"/>
        <v>0</v>
      </c>
      <c r="F135" s="721"/>
      <c r="G135" s="721"/>
      <c r="H135" s="698">
        <f t="shared" si="37"/>
        <v>0</v>
      </c>
      <c r="I135" s="721"/>
      <c r="J135" s="721"/>
      <c r="K135" s="698">
        <f t="shared" si="38"/>
        <v>0</v>
      </c>
      <c r="L135" s="721"/>
      <c r="M135" s="721"/>
      <c r="N135" s="698">
        <f t="shared" si="39"/>
        <v>0</v>
      </c>
      <c r="O135" s="787"/>
      <c r="P135" s="698">
        <f t="shared" si="40"/>
        <v>0</v>
      </c>
      <c r="Q135" s="853"/>
      <c r="R135" s="698">
        <f t="shared" si="41"/>
        <v>0</v>
      </c>
      <c r="S135" s="714"/>
      <c r="T135" s="787"/>
      <c r="U135" s="698">
        <f t="shared" si="42"/>
        <v>0</v>
      </c>
      <c r="V135" s="698"/>
      <c r="W135" s="698">
        <f t="shared" si="43"/>
        <v>0</v>
      </c>
      <c r="X135" s="698"/>
    </row>
    <row r="136" spans="1:24" ht="15.75" thickBot="1">
      <c r="A136" s="786" t="s">
        <v>159</v>
      </c>
      <c r="B136" s="805" t="s">
        <v>160</v>
      </c>
      <c r="C136" s="786" t="s">
        <v>47</v>
      </c>
      <c r="D136" s="698">
        <f t="shared" si="44"/>
        <v>0</v>
      </c>
      <c r="E136" s="698">
        <f t="shared" si="45"/>
        <v>0</v>
      </c>
      <c r="F136" s="721"/>
      <c r="G136" s="721"/>
      <c r="H136" s="698">
        <f t="shared" si="37"/>
        <v>0</v>
      </c>
      <c r="I136" s="721"/>
      <c r="J136" s="721"/>
      <c r="K136" s="698">
        <f t="shared" si="38"/>
        <v>0</v>
      </c>
      <c r="L136" s="721"/>
      <c r="M136" s="721"/>
      <c r="N136" s="698">
        <f t="shared" si="39"/>
        <v>0</v>
      </c>
      <c r="O136" s="787"/>
      <c r="P136" s="698">
        <f t="shared" si="40"/>
        <v>0</v>
      </c>
      <c r="Q136" s="853"/>
      <c r="R136" s="698">
        <f t="shared" si="41"/>
        <v>0</v>
      </c>
      <c r="S136" s="714"/>
      <c r="T136" s="787"/>
      <c r="U136" s="698">
        <f t="shared" si="42"/>
        <v>0</v>
      </c>
      <c r="V136" s="698"/>
      <c r="W136" s="698">
        <f t="shared" si="43"/>
        <v>0</v>
      </c>
      <c r="X136" s="698"/>
    </row>
    <row r="137" spans="1:24" ht="15.75" thickBot="1">
      <c r="A137" s="828"/>
      <c r="B137" s="854"/>
      <c r="C137" s="828" t="s">
        <v>21</v>
      </c>
      <c r="D137" s="726">
        <f t="shared" si="44"/>
        <v>0</v>
      </c>
      <c r="E137" s="726">
        <f t="shared" si="45"/>
        <v>0</v>
      </c>
      <c r="F137" s="736"/>
      <c r="G137" s="736"/>
      <c r="H137" s="726">
        <f t="shared" si="37"/>
        <v>0</v>
      </c>
      <c r="I137" s="736"/>
      <c r="J137" s="736"/>
      <c r="K137" s="698">
        <f t="shared" si="38"/>
        <v>0</v>
      </c>
      <c r="L137" s="721"/>
      <c r="M137" s="721"/>
      <c r="N137" s="698">
        <f t="shared" si="39"/>
        <v>0</v>
      </c>
      <c r="O137" s="730"/>
      <c r="P137" s="698">
        <f t="shared" si="40"/>
        <v>0</v>
      </c>
      <c r="Q137" s="855"/>
      <c r="R137" s="698">
        <f t="shared" si="41"/>
        <v>0</v>
      </c>
      <c r="S137" s="729"/>
      <c r="T137" s="730"/>
      <c r="U137" s="698">
        <f t="shared" si="42"/>
        <v>0</v>
      </c>
      <c r="V137" s="726"/>
      <c r="W137" s="698">
        <f t="shared" si="43"/>
        <v>0</v>
      </c>
      <c r="X137" s="726"/>
    </row>
    <row r="138" spans="1:24" ht="15.75" thickBot="1">
      <c r="A138" s="856" t="s">
        <v>161</v>
      </c>
      <c r="B138" s="856" t="s">
        <v>162</v>
      </c>
      <c r="C138" s="856" t="s">
        <v>21</v>
      </c>
      <c r="D138" s="781">
        <f t="shared" si="44"/>
        <v>0</v>
      </c>
      <c r="E138" s="781">
        <f t="shared" si="45"/>
        <v>0</v>
      </c>
      <c r="F138" s="857"/>
      <c r="G138" s="857"/>
      <c r="H138" s="781">
        <f t="shared" si="37"/>
        <v>0</v>
      </c>
      <c r="I138" s="857"/>
      <c r="J138" s="857"/>
      <c r="K138" s="714">
        <f t="shared" si="38"/>
        <v>0</v>
      </c>
      <c r="L138" s="721"/>
      <c r="M138" s="721"/>
      <c r="N138" s="698">
        <f t="shared" si="39"/>
        <v>0</v>
      </c>
      <c r="O138" s="808"/>
      <c r="P138" s="698">
        <f t="shared" si="40"/>
        <v>0</v>
      </c>
      <c r="Q138" s="801"/>
      <c r="R138" s="698">
        <f t="shared" si="41"/>
        <v>0</v>
      </c>
      <c r="S138" s="752"/>
      <c r="T138" s="808"/>
      <c r="U138" s="698">
        <f t="shared" si="42"/>
        <v>0</v>
      </c>
      <c r="V138" s="792"/>
      <c r="W138" s="698">
        <f t="shared" si="43"/>
        <v>0</v>
      </c>
      <c r="X138" s="792"/>
    </row>
    <row r="139" spans="1:24" ht="15.75" thickBot="1">
      <c r="A139" s="856" t="s">
        <v>163</v>
      </c>
      <c r="B139" s="856" t="s">
        <v>164</v>
      </c>
      <c r="C139" s="856" t="s">
        <v>21</v>
      </c>
      <c r="D139" s="781">
        <f t="shared" si="44"/>
        <v>0</v>
      </c>
      <c r="E139" s="781">
        <f t="shared" si="45"/>
        <v>0</v>
      </c>
      <c r="F139" s="857"/>
      <c r="G139" s="857"/>
      <c r="H139" s="781">
        <f t="shared" si="37"/>
        <v>0</v>
      </c>
      <c r="I139" s="857"/>
      <c r="J139" s="857"/>
      <c r="K139" s="714">
        <f t="shared" si="38"/>
        <v>0</v>
      </c>
      <c r="L139" s="721"/>
      <c r="M139" s="721"/>
      <c r="N139" s="698">
        <f t="shared" si="39"/>
        <v>0</v>
      </c>
      <c r="O139" s="790"/>
      <c r="P139" s="698">
        <f t="shared" si="40"/>
        <v>0</v>
      </c>
      <c r="Q139" s="804"/>
      <c r="R139" s="698">
        <f t="shared" si="41"/>
        <v>0</v>
      </c>
      <c r="S139" s="803"/>
      <c r="T139" s="790"/>
      <c r="U139" s="698">
        <f t="shared" si="42"/>
        <v>0</v>
      </c>
      <c r="V139" s="797"/>
      <c r="W139" s="698">
        <f t="shared" si="43"/>
        <v>0</v>
      </c>
      <c r="X139" s="797"/>
    </row>
    <row r="140" spans="1:24">
      <c r="A140" s="856" t="s">
        <v>165</v>
      </c>
      <c r="B140" s="858" t="s">
        <v>166</v>
      </c>
      <c r="C140" s="856" t="s">
        <v>47</v>
      </c>
      <c r="D140" s="781">
        <f>H140+K140</f>
        <v>550</v>
      </c>
      <c r="E140" s="781">
        <f t="shared" ref="E140:G141" si="46">E142+E144+E146+E148+E150+E152+E154+E156</f>
        <v>0</v>
      </c>
      <c r="F140" s="781">
        <f t="shared" si="46"/>
        <v>0</v>
      </c>
      <c r="G140" s="781">
        <f t="shared" si="46"/>
        <v>0</v>
      </c>
      <c r="H140" s="857">
        <f>I140</f>
        <v>417</v>
      </c>
      <c r="I140" s="857">
        <v>417</v>
      </c>
      <c r="J140" s="781">
        <f>J142+J144+J146+J148+J150+J152+J154+J156</f>
        <v>0</v>
      </c>
      <c r="K140" s="694">
        <v>133</v>
      </c>
      <c r="L140" s="694">
        <v>133</v>
      </c>
      <c r="M140" s="694"/>
      <c r="N140" s="694">
        <f t="shared" ref="N140:X141" si="47">N142+N144+N146+N148+N150+N152+N154+N156</f>
        <v>0</v>
      </c>
      <c r="O140" s="694">
        <f t="shared" si="47"/>
        <v>0</v>
      </c>
      <c r="P140" s="694">
        <f t="shared" si="47"/>
        <v>0</v>
      </c>
      <c r="Q140" s="694">
        <f t="shared" si="47"/>
        <v>0</v>
      </c>
      <c r="R140" s="694">
        <f t="shared" si="47"/>
        <v>0</v>
      </c>
      <c r="S140" s="694">
        <f t="shared" si="47"/>
        <v>0</v>
      </c>
      <c r="T140" s="694">
        <f t="shared" si="47"/>
        <v>0</v>
      </c>
      <c r="U140" s="694">
        <f t="shared" si="47"/>
        <v>0</v>
      </c>
      <c r="V140" s="694">
        <f t="shared" si="47"/>
        <v>0</v>
      </c>
      <c r="W140" s="694">
        <f t="shared" si="47"/>
        <v>0</v>
      </c>
      <c r="X140" s="694">
        <f t="shared" si="47"/>
        <v>0</v>
      </c>
    </row>
    <row r="141" spans="1:24" ht="15.75" thickBot="1">
      <c r="A141" s="856"/>
      <c r="B141" s="858" t="s">
        <v>84</v>
      </c>
      <c r="C141" s="856" t="s">
        <v>21</v>
      </c>
      <c r="D141" s="781">
        <f>H141+K141</f>
        <v>5.2854999999999999</v>
      </c>
      <c r="E141" s="781">
        <f t="shared" si="46"/>
        <v>0</v>
      </c>
      <c r="F141" s="781">
        <f t="shared" si="46"/>
        <v>0</v>
      </c>
      <c r="G141" s="781">
        <f t="shared" si="46"/>
        <v>0</v>
      </c>
      <c r="H141" s="857">
        <f>I141</f>
        <v>4.0073699999999999</v>
      </c>
      <c r="I141" s="857">
        <v>4.0073699999999999</v>
      </c>
      <c r="J141" s="781">
        <f>J143+J145+J147+J149+J151+J153+J155+J157</f>
        <v>0</v>
      </c>
      <c r="K141" s="694">
        <v>1.27813</v>
      </c>
      <c r="L141" s="694">
        <v>1.27813</v>
      </c>
      <c r="M141" s="694"/>
      <c r="N141" s="694">
        <f t="shared" si="47"/>
        <v>0</v>
      </c>
      <c r="O141" s="694">
        <f t="shared" si="47"/>
        <v>0</v>
      </c>
      <c r="P141" s="694">
        <f t="shared" si="47"/>
        <v>0</v>
      </c>
      <c r="Q141" s="694">
        <f t="shared" si="47"/>
        <v>0</v>
      </c>
      <c r="R141" s="694">
        <f t="shared" si="47"/>
        <v>0</v>
      </c>
      <c r="S141" s="694">
        <f t="shared" si="47"/>
        <v>0</v>
      </c>
      <c r="T141" s="694">
        <f t="shared" si="47"/>
        <v>0</v>
      </c>
      <c r="U141" s="694">
        <f t="shared" si="47"/>
        <v>0</v>
      </c>
      <c r="V141" s="694">
        <f t="shared" si="47"/>
        <v>0</v>
      </c>
      <c r="W141" s="694">
        <f t="shared" si="47"/>
        <v>0</v>
      </c>
      <c r="X141" s="694">
        <f t="shared" si="47"/>
        <v>0</v>
      </c>
    </row>
    <row r="142" spans="1:24" ht="15.75" thickBot="1">
      <c r="A142" s="856" t="s">
        <v>167</v>
      </c>
      <c r="B142" s="856" t="s">
        <v>168</v>
      </c>
      <c r="C142" s="856" t="s">
        <v>47</v>
      </c>
      <c r="D142" s="781">
        <f t="shared" ref="D142" si="48">E142+H142+K142+N142+P142+R142+U142+W142</f>
        <v>0</v>
      </c>
      <c r="E142" s="781">
        <f t="shared" ref="E142:E157" si="49">F142+G142</f>
        <v>0</v>
      </c>
      <c r="F142" s="857"/>
      <c r="G142" s="857"/>
      <c r="H142" s="857">
        <v>0</v>
      </c>
      <c r="I142" s="857"/>
      <c r="J142" s="857"/>
      <c r="K142" s="714">
        <f t="shared" ref="K142:K157" si="50">L142+M142</f>
        <v>0</v>
      </c>
      <c r="L142" s="721"/>
      <c r="M142" s="721"/>
      <c r="N142" s="698">
        <f t="shared" ref="N142:N157" si="51">O142</f>
        <v>0</v>
      </c>
      <c r="O142" s="863"/>
      <c r="P142" s="698">
        <f t="shared" ref="P142:P157" si="52">Q142</f>
        <v>0</v>
      </c>
      <c r="Q142" s="701"/>
      <c r="R142" s="698">
        <f t="shared" ref="R142:R157" si="53">S142+T142</f>
        <v>0</v>
      </c>
      <c r="S142" s="714"/>
      <c r="T142" s="698"/>
      <c r="U142" s="698">
        <f t="shared" ref="U142:U157" si="54">V142</f>
        <v>0</v>
      </c>
      <c r="V142" s="698"/>
      <c r="W142" s="698">
        <f t="shared" ref="W142:W157" si="55">X142</f>
        <v>0</v>
      </c>
      <c r="X142" s="698"/>
    </row>
    <row r="143" spans="1:24" ht="15.75" thickBot="1">
      <c r="A143" s="856"/>
      <c r="B143" s="856"/>
      <c r="C143" s="856" t="s">
        <v>21</v>
      </c>
      <c r="D143" s="781">
        <f>E143+H145+K143+N143+P143+R143+U143+W143</f>
        <v>0</v>
      </c>
      <c r="E143" s="781">
        <f t="shared" si="49"/>
        <v>0</v>
      </c>
      <c r="F143" s="857"/>
      <c r="G143" s="857"/>
      <c r="H143" s="857">
        <v>0</v>
      </c>
      <c r="I143" s="857"/>
      <c r="J143" s="857"/>
      <c r="K143" s="714">
        <f t="shared" si="50"/>
        <v>0</v>
      </c>
      <c r="L143" s="721"/>
      <c r="M143" s="721"/>
      <c r="N143" s="698">
        <f t="shared" si="51"/>
        <v>0</v>
      </c>
      <c r="O143" s="863"/>
      <c r="P143" s="698">
        <f t="shared" si="52"/>
        <v>0</v>
      </c>
      <c r="Q143" s="701"/>
      <c r="R143" s="698">
        <f t="shared" si="53"/>
        <v>0</v>
      </c>
      <c r="S143" s="714"/>
      <c r="T143" s="698"/>
      <c r="U143" s="698">
        <f t="shared" si="54"/>
        <v>0</v>
      </c>
      <c r="V143" s="698"/>
      <c r="W143" s="698">
        <f t="shared" si="55"/>
        <v>0</v>
      </c>
      <c r="X143" s="698"/>
    </row>
    <row r="144" spans="1:24" ht="15.75" thickBot="1">
      <c r="A144" s="856" t="s">
        <v>169</v>
      </c>
      <c r="B144" s="856" t="s">
        <v>170</v>
      </c>
      <c r="C144" s="856" t="s">
        <v>47</v>
      </c>
      <c r="D144" s="781">
        <f>E144+I144+K144+N144+P144+R144+U144+W144</f>
        <v>0</v>
      </c>
      <c r="E144" s="781">
        <f t="shared" si="49"/>
        <v>0</v>
      </c>
      <c r="F144" s="857"/>
      <c r="G144" s="857"/>
      <c r="H144" s="857">
        <v>0</v>
      </c>
      <c r="I144" s="857"/>
      <c r="J144" s="857"/>
      <c r="K144" s="714">
        <f t="shared" si="50"/>
        <v>0</v>
      </c>
      <c r="L144" s="721"/>
      <c r="M144" s="721"/>
      <c r="N144" s="698">
        <f t="shared" si="51"/>
        <v>0</v>
      </c>
      <c r="O144" s="863"/>
      <c r="P144" s="698">
        <f t="shared" si="52"/>
        <v>0</v>
      </c>
      <c r="Q144" s="701"/>
      <c r="R144" s="698">
        <f t="shared" si="53"/>
        <v>0</v>
      </c>
      <c r="S144" s="714"/>
      <c r="T144" s="698"/>
      <c r="U144" s="698">
        <f t="shared" si="54"/>
        <v>0</v>
      </c>
      <c r="V144" s="698"/>
      <c r="W144" s="698">
        <f t="shared" si="55"/>
        <v>0</v>
      </c>
      <c r="X144" s="698"/>
    </row>
    <row r="145" spans="1:24" ht="15.75" thickBot="1">
      <c r="A145" s="856"/>
      <c r="B145" s="856"/>
      <c r="C145" s="856" t="s">
        <v>21</v>
      </c>
      <c r="D145" s="781">
        <f>E145+I145+K145+N145+P145+R145+U145+W145</f>
        <v>0</v>
      </c>
      <c r="E145" s="781">
        <f t="shared" si="49"/>
        <v>0</v>
      </c>
      <c r="F145" s="857"/>
      <c r="G145" s="857"/>
      <c r="H145" s="857">
        <v>0</v>
      </c>
      <c r="I145" s="857"/>
      <c r="J145" s="857"/>
      <c r="K145" s="714">
        <f t="shared" si="50"/>
        <v>0</v>
      </c>
      <c r="L145" s="721"/>
      <c r="M145" s="721"/>
      <c r="N145" s="698">
        <f t="shared" si="51"/>
        <v>0</v>
      </c>
      <c r="O145" s="863"/>
      <c r="P145" s="698">
        <f t="shared" si="52"/>
        <v>0</v>
      </c>
      <c r="Q145" s="701"/>
      <c r="R145" s="698">
        <f t="shared" si="53"/>
        <v>0</v>
      </c>
      <c r="S145" s="714"/>
      <c r="T145" s="698"/>
      <c r="U145" s="698">
        <f t="shared" si="54"/>
        <v>0</v>
      </c>
      <c r="V145" s="698"/>
      <c r="W145" s="698">
        <f t="shared" si="55"/>
        <v>0</v>
      </c>
      <c r="X145" s="698"/>
    </row>
    <row r="146" spans="1:24" ht="15.75" thickBot="1">
      <c r="A146" s="856" t="s">
        <v>171</v>
      </c>
      <c r="B146" s="856" t="s">
        <v>172</v>
      </c>
      <c r="C146" s="856" t="s">
        <v>47</v>
      </c>
      <c r="D146" s="781">
        <f>E146+I146+K146+N146+P146+R146+U146+W146</f>
        <v>0</v>
      </c>
      <c r="E146" s="781">
        <f t="shared" si="49"/>
        <v>0</v>
      </c>
      <c r="F146" s="857"/>
      <c r="G146" s="857"/>
      <c r="H146" s="857">
        <v>0</v>
      </c>
      <c r="I146" s="857"/>
      <c r="J146" s="857"/>
      <c r="K146" s="714">
        <f t="shared" si="50"/>
        <v>0</v>
      </c>
      <c r="L146" s="721"/>
      <c r="M146" s="721"/>
      <c r="N146" s="698">
        <f t="shared" si="51"/>
        <v>0</v>
      </c>
      <c r="O146" s="863"/>
      <c r="P146" s="698">
        <f t="shared" si="52"/>
        <v>0</v>
      </c>
      <c r="Q146" s="701"/>
      <c r="R146" s="698">
        <f t="shared" si="53"/>
        <v>0</v>
      </c>
      <c r="S146" s="714"/>
      <c r="T146" s="698"/>
      <c r="U146" s="698">
        <f t="shared" si="54"/>
        <v>0</v>
      </c>
      <c r="V146" s="698"/>
      <c r="W146" s="698">
        <f t="shared" si="55"/>
        <v>0</v>
      </c>
      <c r="X146" s="698"/>
    </row>
    <row r="147" spans="1:24" ht="15.75" thickBot="1">
      <c r="A147" s="856"/>
      <c r="B147" s="856"/>
      <c r="C147" s="856" t="s">
        <v>21</v>
      </c>
      <c r="D147" s="781">
        <f>E147+I147+K147+N147+P147+R147+U147+W147</f>
        <v>0</v>
      </c>
      <c r="E147" s="781">
        <f t="shared" si="49"/>
        <v>0</v>
      </c>
      <c r="F147" s="857"/>
      <c r="G147" s="857"/>
      <c r="H147" s="857">
        <v>0</v>
      </c>
      <c r="I147" s="857"/>
      <c r="J147" s="857"/>
      <c r="K147" s="714"/>
      <c r="L147" s="721"/>
      <c r="M147" s="721"/>
      <c r="N147" s="698">
        <f t="shared" si="51"/>
        <v>0</v>
      </c>
      <c r="O147" s="863"/>
      <c r="P147" s="698">
        <f t="shared" si="52"/>
        <v>0</v>
      </c>
      <c r="Q147" s="701"/>
      <c r="R147" s="698">
        <f t="shared" si="53"/>
        <v>0</v>
      </c>
      <c r="S147" s="714"/>
      <c r="T147" s="698"/>
      <c r="U147" s="698">
        <f t="shared" si="54"/>
        <v>0</v>
      </c>
      <c r="V147" s="698"/>
      <c r="W147" s="698">
        <f t="shared" si="55"/>
        <v>0</v>
      </c>
      <c r="X147" s="698"/>
    </row>
    <row r="148" spans="1:24" ht="15.75" thickBot="1">
      <c r="A148" s="856" t="s">
        <v>173</v>
      </c>
      <c r="B148" s="856" t="s">
        <v>174</v>
      </c>
      <c r="C148" s="856" t="s">
        <v>47</v>
      </c>
      <c r="D148" s="781">
        <v>0</v>
      </c>
      <c r="E148" s="781">
        <f t="shared" si="49"/>
        <v>0</v>
      </c>
      <c r="F148" s="857"/>
      <c r="G148" s="857"/>
      <c r="H148" s="857">
        <v>0</v>
      </c>
      <c r="I148" s="857"/>
      <c r="J148" s="857"/>
      <c r="K148" s="714">
        <f t="shared" si="50"/>
        <v>0</v>
      </c>
      <c r="L148" s="721"/>
      <c r="M148" s="721"/>
      <c r="N148" s="698">
        <f t="shared" si="51"/>
        <v>0</v>
      </c>
      <c r="O148" s="863"/>
      <c r="P148" s="698">
        <f t="shared" si="52"/>
        <v>0</v>
      </c>
      <c r="Q148" s="701"/>
      <c r="R148" s="698">
        <f t="shared" si="53"/>
        <v>0</v>
      </c>
      <c r="S148" s="714"/>
      <c r="T148" s="698"/>
      <c r="U148" s="698">
        <f t="shared" si="54"/>
        <v>0</v>
      </c>
      <c r="V148" s="698"/>
      <c r="W148" s="698">
        <f t="shared" si="55"/>
        <v>0</v>
      </c>
      <c r="X148" s="698"/>
    </row>
    <row r="149" spans="1:24" ht="15.75" thickBot="1">
      <c r="A149" s="856"/>
      <c r="B149" s="856"/>
      <c r="C149" s="856" t="s">
        <v>21</v>
      </c>
      <c r="D149" s="781">
        <v>0</v>
      </c>
      <c r="E149" s="781">
        <f t="shared" si="49"/>
        <v>0</v>
      </c>
      <c r="F149" s="857"/>
      <c r="G149" s="857"/>
      <c r="H149" s="857">
        <v>0</v>
      </c>
      <c r="I149" s="857"/>
      <c r="J149" s="857"/>
      <c r="K149" s="714">
        <f t="shared" si="50"/>
        <v>0</v>
      </c>
      <c r="L149" s="721"/>
      <c r="M149" s="721"/>
      <c r="N149" s="698">
        <f t="shared" si="51"/>
        <v>0</v>
      </c>
      <c r="O149" s="863"/>
      <c r="P149" s="698">
        <f t="shared" si="52"/>
        <v>0</v>
      </c>
      <c r="Q149" s="864"/>
      <c r="R149" s="698">
        <f t="shared" si="53"/>
        <v>0</v>
      </c>
      <c r="S149" s="729"/>
      <c r="T149" s="726"/>
      <c r="U149" s="698">
        <f t="shared" si="54"/>
        <v>0</v>
      </c>
      <c r="V149" s="726"/>
      <c r="W149" s="698">
        <f t="shared" si="55"/>
        <v>0</v>
      </c>
      <c r="X149" s="726"/>
    </row>
    <row r="150" spans="1:24" ht="15.75" thickBot="1">
      <c r="A150" s="856" t="s">
        <v>175</v>
      </c>
      <c r="B150" s="856" t="s">
        <v>176</v>
      </c>
      <c r="C150" s="856" t="s">
        <v>47</v>
      </c>
      <c r="D150" s="781">
        <f t="shared" ref="D150:D157" si="56">E150+H150+K150+N150+P150+R150+U150+W150</f>
        <v>550</v>
      </c>
      <c r="E150" s="781">
        <f t="shared" si="49"/>
        <v>0</v>
      </c>
      <c r="F150" s="857"/>
      <c r="G150" s="857"/>
      <c r="H150" s="857">
        <f>I150</f>
        <v>417</v>
      </c>
      <c r="I150" s="857">
        <v>417</v>
      </c>
      <c r="J150" s="857"/>
      <c r="K150" s="714">
        <f>L150+M150</f>
        <v>133</v>
      </c>
      <c r="L150" s="694">
        <v>133</v>
      </c>
      <c r="M150" s="721"/>
      <c r="N150" s="698">
        <f t="shared" si="51"/>
        <v>0</v>
      </c>
      <c r="O150" s="863"/>
      <c r="P150" s="698">
        <f t="shared" si="52"/>
        <v>0</v>
      </c>
      <c r="Q150" s="701"/>
      <c r="R150" s="698">
        <f t="shared" si="53"/>
        <v>0</v>
      </c>
      <c r="S150" s="714"/>
      <c r="T150" s="698"/>
      <c r="U150" s="698">
        <f t="shared" si="54"/>
        <v>0</v>
      </c>
      <c r="V150" s="698"/>
      <c r="W150" s="698">
        <f t="shared" si="55"/>
        <v>0</v>
      </c>
      <c r="X150" s="698"/>
    </row>
    <row r="151" spans="1:24" ht="15.75" thickBot="1">
      <c r="A151" s="856"/>
      <c r="B151" s="856"/>
      <c r="C151" s="856" t="s">
        <v>21</v>
      </c>
      <c r="D151" s="781">
        <f t="shared" si="56"/>
        <v>5.2854999999999999</v>
      </c>
      <c r="E151" s="781">
        <f t="shared" si="49"/>
        <v>0</v>
      </c>
      <c r="F151" s="857"/>
      <c r="G151" s="857"/>
      <c r="H151" s="857">
        <f>I151</f>
        <v>4.0073699999999999</v>
      </c>
      <c r="I151" s="857">
        <v>4.0073699999999999</v>
      </c>
      <c r="J151" s="857"/>
      <c r="K151" s="714">
        <f>L151+M151</f>
        <v>1.27813</v>
      </c>
      <c r="L151" s="694">
        <v>1.27813</v>
      </c>
      <c r="M151" s="721"/>
      <c r="N151" s="698">
        <f t="shared" si="51"/>
        <v>0</v>
      </c>
      <c r="O151" s="863"/>
      <c r="P151" s="698">
        <f t="shared" si="52"/>
        <v>0</v>
      </c>
      <c r="Q151" s="701"/>
      <c r="R151" s="698">
        <f t="shared" si="53"/>
        <v>0</v>
      </c>
      <c r="S151" s="714"/>
      <c r="T151" s="698"/>
      <c r="U151" s="698">
        <f t="shared" si="54"/>
        <v>0</v>
      </c>
      <c r="V151" s="698"/>
      <c r="W151" s="698">
        <f t="shared" si="55"/>
        <v>0</v>
      </c>
      <c r="X151" s="698"/>
    </row>
    <row r="152" spans="1:24" ht="15.75" thickBot="1">
      <c r="A152" s="856" t="s">
        <v>177</v>
      </c>
      <c r="B152" s="856" t="s">
        <v>178</v>
      </c>
      <c r="C152" s="856" t="s">
        <v>47</v>
      </c>
      <c r="D152" s="781">
        <f t="shared" si="56"/>
        <v>0</v>
      </c>
      <c r="E152" s="781">
        <f t="shared" si="49"/>
        <v>0</v>
      </c>
      <c r="F152" s="857"/>
      <c r="G152" s="857"/>
      <c r="H152" s="857">
        <v>0</v>
      </c>
      <c r="I152" s="857"/>
      <c r="J152" s="857"/>
      <c r="K152" s="714">
        <f t="shared" si="50"/>
        <v>0</v>
      </c>
      <c r="L152" s="721"/>
      <c r="M152" s="721"/>
      <c r="N152" s="698">
        <f t="shared" si="51"/>
        <v>0</v>
      </c>
      <c r="O152" s="863"/>
      <c r="P152" s="698">
        <f t="shared" si="52"/>
        <v>0</v>
      </c>
      <c r="Q152" s="701"/>
      <c r="R152" s="698">
        <f t="shared" si="53"/>
        <v>0</v>
      </c>
      <c r="S152" s="714"/>
      <c r="T152" s="698"/>
      <c r="U152" s="698">
        <f t="shared" si="54"/>
        <v>0</v>
      </c>
      <c r="V152" s="698"/>
      <c r="W152" s="698">
        <f t="shared" si="55"/>
        <v>0</v>
      </c>
      <c r="X152" s="698"/>
    </row>
    <row r="153" spans="1:24" ht="15.75" thickBot="1">
      <c r="A153" s="856"/>
      <c r="B153" s="856"/>
      <c r="C153" s="856" t="s">
        <v>21</v>
      </c>
      <c r="D153" s="781">
        <f t="shared" si="56"/>
        <v>0</v>
      </c>
      <c r="E153" s="781">
        <f t="shared" si="49"/>
        <v>0</v>
      </c>
      <c r="F153" s="857"/>
      <c r="G153" s="857"/>
      <c r="H153" s="857">
        <v>0</v>
      </c>
      <c r="I153" s="857"/>
      <c r="J153" s="857"/>
      <c r="K153" s="714">
        <f t="shared" si="50"/>
        <v>0</v>
      </c>
      <c r="L153" s="721"/>
      <c r="M153" s="721"/>
      <c r="N153" s="698">
        <f t="shared" si="51"/>
        <v>0</v>
      </c>
      <c r="O153" s="863"/>
      <c r="P153" s="698">
        <f t="shared" si="52"/>
        <v>0</v>
      </c>
      <c r="Q153" s="701"/>
      <c r="R153" s="698">
        <f t="shared" si="53"/>
        <v>0</v>
      </c>
      <c r="S153" s="714"/>
      <c r="T153" s="698"/>
      <c r="U153" s="698">
        <f t="shared" si="54"/>
        <v>0</v>
      </c>
      <c r="V153" s="698"/>
      <c r="W153" s="698">
        <f t="shared" si="55"/>
        <v>0</v>
      </c>
      <c r="X153" s="698"/>
    </row>
    <row r="154" spans="1:24" ht="15.75" thickBot="1">
      <c r="A154" s="856" t="s">
        <v>179</v>
      </c>
      <c r="B154" s="856" t="s">
        <v>180</v>
      </c>
      <c r="C154" s="856" t="s">
        <v>47</v>
      </c>
      <c r="D154" s="781">
        <f>E154+I154+K154+N154+P154+R154+U154+W154</f>
        <v>0</v>
      </c>
      <c r="E154" s="781">
        <f t="shared" si="49"/>
        <v>0</v>
      </c>
      <c r="F154" s="857"/>
      <c r="G154" s="857"/>
      <c r="H154" s="857">
        <v>0</v>
      </c>
      <c r="I154" s="857"/>
      <c r="J154" s="857"/>
      <c r="K154" s="714">
        <f t="shared" si="50"/>
        <v>0</v>
      </c>
      <c r="L154" s="721"/>
      <c r="M154" s="721"/>
      <c r="N154" s="698">
        <f t="shared" si="51"/>
        <v>0</v>
      </c>
      <c r="O154" s="863"/>
      <c r="P154" s="698">
        <f t="shared" si="52"/>
        <v>0</v>
      </c>
      <c r="Q154" s="701"/>
      <c r="R154" s="698">
        <f t="shared" si="53"/>
        <v>0</v>
      </c>
      <c r="S154" s="714"/>
      <c r="T154" s="698"/>
      <c r="U154" s="698">
        <f t="shared" si="54"/>
        <v>0</v>
      </c>
      <c r="V154" s="698"/>
      <c r="W154" s="698">
        <f t="shared" si="55"/>
        <v>0</v>
      </c>
      <c r="X154" s="698"/>
    </row>
    <row r="155" spans="1:24" ht="15.75" thickBot="1">
      <c r="A155" s="856"/>
      <c r="B155" s="856"/>
      <c r="C155" s="856" t="s">
        <v>21</v>
      </c>
      <c r="D155" s="781">
        <f>E155+I155+K155+N155+P155+R155+U155+W155</f>
        <v>0</v>
      </c>
      <c r="E155" s="781">
        <f t="shared" si="49"/>
        <v>0</v>
      </c>
      <c r="F155" s="857"/>
      <c r="G155" s="857"/>
      <c r="H155" s="857">
        <v>0</v>
      </c>
      <c r="I155" s="857"/>
      <c r="J155" s="857"/>
      <c r="K155" s="714">
        <f t="shared" si="50"/>
        <v>0</v>
      </c>
      <c r="L155" s="721"/>
      <c r="M155" s="721"/>
      <c r="N155" s="698">
        <f t="shared" si="51"/>
        <v>0</v>
      </c>
      <c r="O155" s="863"/>
      <c r="P155" s="698">
        <f t="shared" si="52"/>
        <v>0</v>
      </c>
      <c r="Q155" s="701"/>
      <c r="R155" s="698">
        <f t="shared" si="53"/>
        <v>0</v>
      </c>
      <c r="S155" s="714"/>
      <c r="T155" s="698"/>
      <c r="U155" s="698">
        <f t="shared" si="54"/>
        <v>0</v>
      </c>
      <c r="V155" s="698"/>
      <c r="W155" s="698">
        <f t="shared" si="55"/>
        <v>0</v>
      </c>
      <c r="X155" s="698"/>
    </row>
    <row r="156" spans="1:24" ht="15.75" thickBot="1">
      <c r="A156" s="856" t="s">
        <v>181</v>
      </c>
      <c r="B156" s="856" t="s">
        <v>182</v>
      </c>
      <c r="C156" s="856" t="s">
        <v>47</v>
      </c>
      <c r="D156" s="781">
        <f t="shared" si="56"/>
        <v>0</v>
      </c>
      <c r="E156" s="781">
        <f t="shared" si="49"/>
        <v>0</v>
      </c>
      <c r="F156" s="857"/>
      <c r="G156" s="857"/>
      <c r="H156" s="857">
        <v>0</v>
      </c>
      <c r="I156" s="857"/>
      <c r="J156" s="857"/>
      <c r="K156" s="714">
        <f t="shared" si="50"/>
        <v>0</v>
      </c>
      <c r="L156" s="721"/>
      <c r="M156" s="721"/>
      <c r="N156" s="698">
        <f t="shared" si="51"/>
        <v>0</v>
      </c>
      <c r="O156" s="852"/>
      <c r="P156" s="698">
        <f t="shared" si="52"/>
        <v>0</v>
      </c>
      <c r="Q156" s="701"/>
      <c r="R156" s="698">
        <f t="shared" si="53"/>
        <v>0</v>
      </c>
      <c r="S156" s="714"/>
      <c r="T156" s="698"/>
      <c r="U156" s="698">
        <f t="shared" si="54"/>
        <v>0</v>
      </c>
      <c r="V156" s="698"/>
      <c r="W156" s="698">
        <f t="shared" si="55"/>
        <v>0</v>
      </c>
      <c r="X156" s="698"/>
    </row>
    <row r="157" spans="1:24" ht="15.75" thickBot="1">
      <c r="A157" s="856"/>
      <c r="B157" s="856"/>
      <c r="C157" s="856" t="s">
        <v>21</v>
      </c>
      <c r="D157" s="781">
        <f t="shared" si="56"/>
        <v>0</v>
      </c>
      <c r="E157" s="781">
        <f t="shared" si="49"/>
        <v>0</v>
      </c>
      <c r="F157" s="857"/>
      <c r="G157" s="857"/>
      <c r="H157" s="857">
        <v>0</v>
      </c>
      <c r="I157" s="857"/>
      <c r="J157" s="857"/>
      <c r="K157" s="714">
        <f t="shared" si="50"/>
        <v>0</v>
      </c>
      <c r="L157" s="721"/>
      <c r="M157" s="721"/>
      <c r="N157" s="698">
        <f t="shared" si="51"/>
        <v>0</v>
      </c>
      <c r="O157" s="804"/>
      <c r="P157" s="698">
        <f t="shared" si="52"/>
        <v>0</v>
      </c>
      <c r="Q157" s="747"/>
      <c r="R157" s="698">
        <f t="shared" si="53"/>
        <v>0</v>
      </c>
      <c r="S157" s="742"/>
      <c r="T157" s="720"/>
      <c r="U157" s="698">
        <f t="shared" si="54"/>
        <v>0</v>
      </c>
      <c r="V157" s="720"/>
      <c r="W157" s="698">
        <f t="shared" si="55"/>
        <v>0</v>
      </c>
      <c r="X157" s="720"/>
    </row>
    <row r="158" spans="1:24">
      <c r="A158" s="829"/>
      <c r="B158" s="829"/>
      <c r="C158" s="829"/>
      <c r="D158" s="1349"/>
      <c r="E158" s="1349"/>
      <c r="F158" s="1705"/>
      <c r="G158" s="1705"/>
      <c r="H158" s="1705"/>
      <c r="I158" s="1705"/>
      <c r="J158" s="1705"/>
      <c r="K158" s="866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</row>
    <row r="159" spans="1:24">
      <c r="A159" s="829"/>
      <c r="B159" s="829"/>
      <c r="C159" s="829"/>
      <c r="D159" s="1349"/>
      <c r="E159" s="1349"/>
      <c r="F159" s="1705"/>
      <c r="G159" s="1705"/>
      <c r="H159" s="1705"/>
      <c r="I159" s="1705"/>
      <c r="J159" s="1705"/>
      <c r="K159" s="866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</row>
    <row r="160" spans="1:24">
      <c r="A160" s="829"/>
      <c r="B160" s="829"/>
      <c r="C160" s="829"/>
      <c r="D160" s="1349"/>
      <c r="E160" s="1349"/>
      <c r="F160" s="1705"/>
      <c r="G160" s="1705"/>
      <c r="H160" s="1705"/>
      <c r="I160" s="1705"/>
      <c r="J160" s="1705"/>
      <c r="K160" s="866"/>
      <c r="L160" s="866"/>
      <c r="M160" s="866"/>
      <c r="N160" s="866"/>
      <c r="O160" s="866"/>
      <c r="P160" s="866"/>
      <c r="Q160" s="866"/>
      <c r="R160" s="866"/>
      <c r="S160" s="866"/>
      <c r="T160" s="866"/>
      <c r="U160" s="866"/>
      <c r="V160" s="866"/>
      <c r="W160" s="866"/>
      <c r="X160" s="866"/>
    </row>
    <row r="161" spans="1:24">
      <c r="A161" s="829"/>
      <c r="B161" s="829"/>
      <c r="C161" s="829"/>
      <c r="D161" s="1349"/>
      <c r="E161" s="1349"/>
      <c r="F161" s="1705"/>
      <c r="G161" s="1705"/>
      <c r="H161" s="1705"/>
      <c r="I161" s="1705"/>
      <c r="J161" s="1705"/>
      <c r="K161" s="866"/>
      <c r="L161" s="866"/>
      <c r="M161" s="866"/>
      <c r="N161" s="866"/>
      <c r="O161" s="866"/>
      <c r="P161" s="866"/>
      <c r="Q161" s="866"/>
      <c r="R161" s="866"/>
      <c r="S161" s="866"/>
      <c r="T161" s="866"/>
      <c r="U161" s="866"/>
      <c r="V161" s="866"/>
      <c r="W161" s="866"/>
      <c r="X161" s="866"/>
    </row>
    <row r="162" spans="1:24">
      <c r="A162" s="865" t="s">
        <v>211</v>
      </c>
      <c r="B162" s="865"/>
      <c r="C162" s="865"/>
      <c r="D162" s="865"/>
      <c r="E162" s="865"/>
      <c r="F162" s="866"/>
      <c r="G162" s="866"/>
      <c r="H162" s="866"/>
      <c r="I162" s="866"/>
      <c r="J162" s="866"/>
      <c r="K162" s="1350"/>
      <c r="L162" s="1350"/>
      <c r="M162" s="1350"/>
      <c r="N162" s="1350"/>
      <c r="O162" s="1350"/>
      <c r="P162" s="1350"/>
      <c r="Q162" s="1350"/>
      <c r="R162" s="1350"/>
      <c r="S162" s="1350"/>
      <c r="T162" s="1350"/>
      <c r="U162" s="1350"/>
      <c r="V162" s="1350"/>
      <c r="W162" s="1350"/>
      <c r="X162" s="1350"/>
    </row>
    <row r="163" spans="1:24">
      <c r="A163" s="1720" t="s">
        <v>212</v>
      </c>
      <c r="B163" s="1720"/>
      <c r="C163" s="1720"/>
      <c r="D163" s="1720"/>
      <c r="E163" s="1720"/>
      <c r="F163" s="1720"/>
      <c r="G163" s="1720"/>
      <c r="H163" s="1720"/>
      <c r="I163" s="1720"/>
      <c r="J163" s="1720"/>
      <c r="K163" s="1350"/>
      <c r="L163" s="1350"/>
      <c r="M163" s="1350"/>
      <c r="N163" s="1350"/>
      <c r="O163" s="1350"/>
      <c r="P163" s="1350"/>
      <c r="Q163" s="1350"/>
      <c r="R163" s="1350"/>
      <c r="S163" s="1350"/>
      <c r="T163" s="1350"/>
      <c r="U163" s="1350"/>
      <c r="V163" s="1350"/>
      <c r="W163" s="1350"/>
      <c r="X163" s="1350"/>
    </row>
    <row r="164" spans="1:24">
      <c r="A164" s="867"/>
      <c r="B164" s="866"/>
      <c r="C164" s="866"/>
      <c r="D164" s="866"/>
      <c r="E164" s="866"/>
      <c r="F164" s="866"/>
      <c r="G164" s="866"/>
      <c r="H164" s="866"/>
      <c r="I164" s="866"/>
      <c r="J164" s="866"/>
      <c r="K164" s="1350"/>
      <c r="L164" s="1350"/>
      <c r="M164" s="1350"/>
      <c r="N164" s="1350"/>
      <c r="O164" s="1350"/>
      <c r="P164" s="1350"/>
      <c r="Q164" s="1350"/>
      <c r="R164" s="1350"/>
      <c r="S164" s="1350"/>
      <c r="T164" s="1350"/>
      <c r="U164" s="1350"/>
      <c r="V164" s="1350"/>
      <c r="W164" s="1350"/>
      <c r="X164" s="1350"/>
    </row>
    <row r="165" spans="1:24">
      <c r="A165" s="865" t="s">
        <v>213</v>
      </c>
      <c r="B165" s="865"/>
      <c r="C165" s="865"/>
      <c r="D165" s="865"/>
      <c r="E165" s="865"/>
      <c r="F165" s="866"/>
      <c r="G165" s="866"/>
      <c r="H165" s="866"/>
      <c r="I165" s="866"/>
      <c r="J165" s="866"/>
      <c r="K165" s="1350"/>
      <c r="L165" s="1350"/>
      <c r="M165" s="1350"/>
      <c r="N165" s="1350"/>
      <c r="O165" s="1350"/>
      <c r="P165" s="1350"/>
      <c r="Q165" s="1350"/>
      <c r="R165" s="1350"/>
      <c r="S165" s="1350"/>
      <c r="T165" s="1350"/>
      <c r="U165" s="1350"/>
      <c r="V165" s="1350"/>
      <c r="W165" s="1350"/>
      <c r="X165" s="1350"/>
    </row>
  </sheetData>
  <mergeCells count="27">
    <mergeCell ref="I1:K1"/>
    <mergeCell ref="T1:X1"/>
    <mergeCell ref="I2:K2"/>
    <mergeCell ref="T2:X2"/>
    <mergeCell ref="I3:K3"/>
    <mergeCell ref="T3:X3"/>
    <mergeCell ref="I4:K4"/>
    <mergeCell ref="T4:X4"/>
    <mergeCell ref="I5:M5"/>
    <mergeCell ref="T5:X5"/>
    <mergeCell ref="A6:M6"/>
    <mergeCell ref="W11:X12"/>
    <mergeCell ref="E12:G12"/>
    <mergeCell ref="H12:J12"/>
    <mergeCell ref="K12:M12"/>
    <mergeCell ref="N12:O12"/>
    <mergeCell ref="P12:Q12"/>
    <mergeCell ref="E11:Q11"/>
    <mergeCell ref="A15:A17"/>
    <mergeCell ref="A102:T102"/>
    <mergeCell ref="A163:J163"/>
    <mergeCell ref="R11:T12"/>
    <mergeCell ref="U11:V12"/>
    <mergeCell ref="A11:A13"/>
    <mergeCell ref="B11:B13"/>
    <mergeCell ref="C11:C13"/>
    <mergeCell ref="D11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5"/>
  <sheetViews>
    <sheetView topLeftCell="B95" workbookViewId="0">
      <selection activeCell="A7" sqref="A7:XFD7"/>
    </sheetView>
  </sheetViews>
  <sheetFormatPr defaultRowHeight="15"/>
  <cols>
    <col min="1" max="1" width="3.28515625" customWidth="1"/>
    <col min="2" max="2" width="35.5703125" customWidth="1"/>
    <col min="3" max="3" width="5.140625" customWidth="1"/>
    <col min="4" max="4" width="7.7109375" customWidth="1"/>
    <col min="5" max="6" width="9.140625" hidden="1" customWidth="1"/>
    <col min="7" max="7" width="8.85546875" hidden="1" customWidth="1"/>
    <col min="8" max="8" width="7.85546875" customWidth="1"/>
    <col min="9" max="9" width="7.42578125" customWidth="1"/>
    <col min="10" max="10" width="8.28515625" customWidth="1"/>
    <col min="11" max="11" width="6.42578125" customWidth="1"/>
    <col min="12" max="12" width="6.85546875" customWidth="1"/>
    <col min="13" max="13" width="9" customWidth="1"/>
    <col min="14" max="14" width="9.140625" hidden="1" customWidth="1"/>
    <col min="15" max="15" width="9" hidden="1" customWidth="1"/>
    <col min="16" max="16" width="9.140625" hidden="1" customWidth="1"/>
    <col min="17" max="17" width="9" hidden="1" customWidth="1"/>
    <col min="18" max="19" width="9.140625" hidden="1" customWidth="1"/>
    <col min="20" max="20" width="8.7109375" hidden="1" customWidth="1"/>
    <col min="21" max="21" width="9.140625" hidden="1" customWidth="1"/>
    <col min="22" max="22" width="9" hidden="1" customWidth="1"/>
    <col min="23" max="24" width="9.140625" hidden="1" customWidth="1"/>
  </cols>
  <sheetData>
    <row r="1" spans="1:24">
      <c r="A1" s="631"/>
      <c r="B1" s="631"/>
      <c r="C1" s="631"/>
      <c r="D1" s="632"/>
      <c r="E1" s="632"/>
      <c r="F1" s="631"/>
      <c r="G1" s="631"/>
      <c r="H1" s="631"/>
      <c r="I1" s="1729" t="s">
        <v>184</v>
      </c>
      <c r="J1" s="1729"/>
      <c r="K1" s="1729"/>
      <c r="L1" s="1303"/>
      <c r="M1" s="1303"/>
      <c r="N1" s="631"/>
      <c r="O1" s="631"/>
      <c r="P1" s="631"/>
      <c r="Q1" s="631"/>
      <c r="R1" s="632"/>
      <c r="S1" s="632"/>
      <c r="T1" s="1730"/>
      <c r="U1" s="1730"/>
      <c r="V1" s="1730"/>
      <c r="W1" s="1730"/>
      <c r="X1" s="1730"/>
    </row>
    <row r="2" spans="1:24">
      <c r="A2" s="631"/>
      <c r="B2" s="631"/>
      <c r="C2" s="631"/>
      <c r="D2" s="632"/>
      <c r="E2" s="632"/>
      <c r="F2" s="631"/>
      <c r="G2" s="631"/>
      <c r="H2" s="631"/>
      <c r="I2" s="1729" t="s">
        <v>185</v>
      </c>
      <c r="J2" s="1729"/>
      <c r="K2" s="1729"/>
      <c r="L2" s="1303"/>
      <c r="M2" s="1303"/>
      <c r="N2" s="631"/>
      <c r="O2" s="631"/>
      <c r="P2" s="631"/>
      <c r="Q2" s="631"/>
      <c r="R2" s="632"/>
      <c r="S2" s="632"/>
      <c r="T2" s="1730"/>
      <c r="U2" s="1730"/>
      <c r="V2" s="1730"/>
      <c r="W2" s="1730"/>
      <c r="X2" s="1730"/>
    </row>
    <row r="3" spans="1:24">
      <c r="A3" s="631"/>
      <c r="B3" s="631"/>
      <c r="C3" s="631"/>
      <c r="D3" s="632"/>
      <c r="E3" s="632"/>
      <c r="F3" s="631"/>
      <c r="G3" s="631"/>
      <c r="H3" s="631"/>
      <c r="I3" s="1729" t="s">
        <v>186</v>
      </c>
      <c r="J3" s="1729"/>
      <c r="K3" s="1729"/>
      <c r="L3" s="1303"/>
      <c r="M3" s="1303"/>
      <c r="N3" s="631"/>
      <c r="O3" s="631"/>
      <c r="P3" s="631"/>
      <c r="Q3" s="631"/>
      <c r="R3" s="632"/>
      <c r="S3" s="632"/>
      <c r="T3" s="1730"/>
      <c r="U3" s="1730"/>
      <c r="V3" s="1730"/>
      <c r="W3" s="1730"/>
      <c r="X3" s="1730"/>
    </row>
    <row r="4" spans="1:24">
      <c r="A4" s="631"/>
      <c r="B4" s="631"/>
      <c r="C4" s="631"/>
      <c r="D4" s="632"/>
      <c r="E4" s="632"/>
      <c r="F4" s="631"/>
      <c r="G4" s="631"/>
      <c r="H4" s="631"/>
      <c r="I4" s="1729" t="s">
        <v>187</v>
      </c>
      <c r="J4" s="1729"/>
      <c r="K4" s="1729"/>
      <c r="L4" s="1303"/>
      <c r="M4" s="1303"/>
      <c r="N4" s="631"/>
      <c r="O4" s="631"/>
      <c r="P4" s="631"/>
      <c r="Q4" s="631"/>
      <c r="R4" s="632"/>
      <c r="S4" s="632"/>
      <c r="T4" s="1730"/>
      <c r="U4" s="1730"/>
      <c r="V4" s="1730"/>
      <c r="W4" s="1730"/>
      <c r="X4" s="1730"/>
    </row>
    <row r="5" spans="1:24">
      <c r="A5" s="631"/>
      <c r="B5" s="631"/>
      <c r="C5" s="631"/>
      <c r="D5" s="632"/>
      <c r="E5" s="632"/>
      <c r="F5" s="631"/>
      <c r="G5" s="631"/>
      <c r="H5" s="631"/>
      <c r="I5" s="1729" t="s">
        <v>210</v>
      </c>
      <c r="J5" s="1729"/>
      <c r="K5" s="1729"/>
      <c r="L5" s="1729"/>
      <c r="M5" s="1729"/>
      <c r="N5" s="631"/>
      <c r="O5" s="631"/>
      <c r="P5" s="631"/>
      <c r="Q5" s="631"/>
      <c r="R5" s="632"/>
      <c r="S5" s="632"/>
      <c r="T5" s="1730"/>
      <c r="U5" s="1730"/>
      <c r="V5" s="1730"/>
      <c r="W5" s="1730"/>
      <c r="X5" s="1730"/>
    </row>
    <row r="6" spans="1:24" ht="30" customHeight="1">
      <c r="A6" s="1731" t="s">
        <v>342</v>
      </c>
      <c r="B6" s="1731"/>
      <c r="C6" s="1731"/>
      <c r="D6" s="1731"/>
      <c r="E6" s="1731"/>
      <c r="F6" s="1731"/>
      <c r="G6" s="1731"/>
      <c r="H6" s="1731"/>
      <c r="I6" s="1731"/>
      <c r="J6" s="1731"/>
      <c r="K6" s="1731"/>
      <c r="L6" s="1731"/>
      <c r="M6" s="1731"/>
      <c r="N6" s="634"/>
      <c r="O6" s="634"/>
      <c r="P6" s="634"/>
      <c r="Q6" s="634"/>
      <c r="R6" s="634"/>
      <c r="S6" s="634"/>
      <c r="T6" s="634"/>
      <c r="U6" s="631"/>
      <c r="V6" s="631"/>
      <c r="W6" s="631"/>
      <c r="X6" s="631"/>
    </row>
    <row r="7" spans="1:24">
      <c r="A7" s="1304"/>
      <c r="B7" s="1304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634"/>
      <c r="O7" s="634"/>
      <c r="P7" s="634"/>
      <c r="Q7" s="634"/>
      <c r="R7" s="634"/>
      <c r="S7" s="634"/>
      <c r="T7" s="634"/>
      <c r="U7" s="631"/>
      <c r="V7" s="631"/>
      <c r="W7" s="631"/>
      <c r="X7" s="631"/>
    </row>
    <row r="8" spans="1:24" ht="0.75" customHeight="1" thickBot="1">
      <c r="A8" s="1304"/>
      <c r="B8" s="1304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634"/>
      <c r="O8" s="634"/>
      <c r="P8" s="634"/>
      <c r="Q8" s="634"/>
      <c r="R8" s="634"/>
      <c r="S8" s="634"/>
      <c r="T8" s="634"/>
      <c r="U8" s="631"/>
      <c r="V8" s="631"/>
      <c r="W8" s="631"/>
      <c r="X8" s="631"/>
    </row>
    <row r="9" spans="1:24" ht="15.75" hidden="1" thickBot="1">
      <c r="A9" s="1304"/>
      <c r="B9" s="1304"/>
      <c r="C9" s="1304"/>
      <c r="D9" s="1304"/>
      <c r="E9" s="1304"/>
      <c r="F9" s="1304"/>
      <c r="G9" s="1304"/>
      <c r="H9" s="1304"/>
      <c r="I9" s="1304"/>
      <c r="J9" s="1304"/>
      <c r="K9" s="1304"/>
      <c r="L9" s="1304"/>
      <c r="M9" s="1304"/>
      <c r="N9" s="634"/>
      <c r="O9" s="634"/>
      <c r="P9" s="634"/>
      <c r="Q9" s="634"/>
      <c r="R9" s="634"/>
      <c r="S9" s="634"/>
      <c r="T9" s="634"/>
      <c r="U9" s="631"/>
      <c r="V9" s="631"/>
      <c r="W9" s="631"/>
      <c r="X9" s="631"/>
    </row>
    <row r="10" spans="1:24" ht="15.75" hidden="1" thickBot="1">
      <c r="A10" s="635" t="s">
        <v>190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6"/>
      <c r="P10" s="635"/>
      <c r="Q10" s="635"/>
      <c r="R10" s="635"/>
      <c r="S10" s="635"/>
      <c r="T10" s="635"/>
      <c r="U10" s="631"/>
      <c r="V10" s="631"/>
      <c r="W10" s="631"/>
      <c r="X10" s="631"/>
    </row>
    <row r="11" spans="1:24" ht="15.75" thickBot="1">
      <c r="A11" s="1738" t="s">
        <v>1</v>
      </c>
      <c r="B11" s="1739" t="s">
        <v>2</v>
      </c>
      <c r="C11" s="1740" t="s">
        <v>3</v>
      </c>
      <c r="D11" s="1742" t="s">
        <v>192</v>
      </c>
      <c r="E11" s="1727" t="s">
        <v>5</v>
      </c>
      <c r="F11" s="1727"/>
      <c r="G11" s="1727"/>
      <c r="H11" s="1727"/>
      <c r="I11" s="1727"/>
      <c r="J11" s="1727"/>
      <c r="K11" s="1727"/>
      <c r="L11" s="1727"/>
      <c r="M11" s="1727"/>
      <c r="N11" s="1727"/>
      <c r="O11" s="1727"/>
      <c r="P11" s="1727"/>
      <c r="Q11" s="1727"/>
      <c r="R11" s="1722" t="s">
        <v>6</v>
      </c>
      <c r="S11" s="1722"/>
      <c r="T11" s="1722"/>
      <c r="U11" s="1722" t="s">
        <v>7</v>
      </c>
      <c r="V11" s="1722"/>
      <c r="W11" s="1727" t="s">
        <v>8</v>
      </c>
      <c r="X11" s="1727"/>
    </row>
    <row r="12" spans="1:24" ht="36" customHeight="1" thickTop="1" thickBot="1">
      <c r="A12" s="1738"/>
      <c r="B12" s="1739"/>
      <c r="C12" s="1740"/>
      <c r="D12" s="1742"/>
      <c r="E12" s="1727" t="s">
        <v>9</v>
      </c>
      <c r="F12" s="1727"/>
      <c r="G12" s="1727"/>
      <c r="H12" s="1727" t="s">
        <v>10</v>
      </c>
      <c r="I12" s="1727"/>
      <c r="J12" s="1727"/>
      <c r="K12" s="1727" t="s">
        <v>11</v>
      </c>
      <c r="L12" s="1727"/>
      <c r="M12" s="1727"/>
      <c r="N12" s="1727" t="s">
        <v>12</v>
      </c>
      <c r="O12" s="1727"/>
      <c r="P12" s="1727" t="s">
        <v>13</v>
      </c>
      <c r="Q12" s="1727"/>
      <c r="R12" s="1722"/>
      <c r="S12" s="1722"/>
      <c r="T12" s="1722"/>
      <c r="U12" s="1722"/>
      <c r="V12" s="1722"/>
      <c r="W12" s="1727"/>
      <c r="X12" s="1727"/>
    </row>
    <row r="13" spans="1:24" ht="16.5" thickTop="1" thickBot="1">
      <c r="A13" s="1738"/>
      <c r="B13" s="1739"/>
      <c r="C13" s="1740"/>
      <c r="D13" s="1742"/>
      <c r="E13" s="640" t="s">
        <v>14</v>
      </c>
      <c r="F13" s="1305" t="s">
        <v>15</v>
      </c>
      <c r="G13" s="1305" t="s">
        <v>16</v>
      </c>
      <c r="H13" s="1313" t="s">
        <v>14</v>
      </c>
      <c r="I13" s="642" t="s">
        <v>15</v>
      </c>
      <c r="J13" s="642" t="s">
        <v>16</v>
      </c>
      <c r="K13" s="640" t="s">
        <v>14</v>
      </c>
      <c r="L13" s="642" t="s">
        <v>15</v>
      </c>
      <c r="M13" s="642" t="s">
        <v>16</v>
      </c>
      <c r="N13" s="640" t="s">
        <v>4</v>
      </c>
      <c r="O13" s="1305" t="s">
        <v>16</v>
      </c>
      <c r="P13" s="640" t="s">
        <v>4</v>
      </c>
      <c r="Q13" s="643" t="s">
        <v>17</v>
      </c>
      <c r="R13" s="640" t="s">
        <v>4</v>
      </c>
      <c r="S13" s="1305" t="s">
        <v>15</v>
      </c>
      <c r="T13" s="1305" t="s">
        <v>16</v>
      </c>
      <c r="U13" s="640" t="s">
        <v>4</v>
      </c>
      <c r="V13" s="644" t="s">
        <v>18</v>
      </c>
      <c r="W13" s="640" t="s">
        <v>4</v>
      </c>
      <c r="X13" s="644" t="s">
        <v>18</v>
      </c>
    </row>
    <row r="14" spans="1:24" ht="16.5" thickTop="1" thickBot="1">
      <c r="A14" s="1314" t="s">
        <v>19</v>
      </c>
      <c r="B14" s="1315" t="s">
        <v>20</v>
      </c>
      <c r="C14" s="1316" t="s">
        <v>21</v>
      </c>
      <c r="D14" s="1317">
        <f>H14+K14</f>
        <v>4601.9830000000002</v>
      </c>
      <c r="E14" s="1317">
        <f>E17+E24+E35+E37+E40+E42+E44+E46+E48+E50+E52+E54+E56+E58+E60+E62+E64+E66+E68+E70+E72</f>
        <v>0</v>
      </c>
      <c r="F14" s="1317">
        <f>F17+F24+F35+F37+F40+F42+F44+F46+F48+F50+F52+F54+F56+F58+F60+F62+F64+F66+F68+F70+F72</f>
        <v>0</v>
      </c>
      <c r="G14" s="1317">
        <f>G17+G24+G35+G37+G40+G42+G44+G46+G48+G50+G52+G54+G56+G58+G60+G62+G64+G66+G68+G70+G72</f>
        <v>0</v>
      </c>
      <c r="H14" s="1317">
        <f>I14+J14</f>
        <v>4154.5219999999999</v>
      </c>
      <c r="I14" s="1317">
        <f>I17+I24+I35+I37+I40+I42+I44+I46+I52+I54+I56+I58</f>
        <v>3043.4489999999996</v>
      </c>
      <c r="J14" s="1317">
        <f>J35+J52+J56+J58</f>
        <v>1111.0730000000001</v>
      </c>
      <c r="K14" s="1317">
        <f>L14+M14</f>
        <v>447.46099999999996</v>
      </c>
      <c r="L14" s="1317">
        <f>L17+L35+L40+L56</f>
        <v>351.95299999999997</v>
      </c>
      <c r="M14" s="1317">
        <f>M35</f>
        <v>95.507999999999996</v>
      </c>
      <c r="N14" s="1318">
        <v>0</v>
      </c>
      <c r="O14" s="1319">
        <v>0</v>
      </c>
      <c r="P14" s="1319">
        <v>0</v>
      </c>
      <c r="Q14" s="1319">
        <v>0</v>
      </c>
      <c r="R14" s="1319">
        <v>0</v>
      </c>
      <c r="S14" s="1319">
        <v>0</v>
      </c>
      <c r="T14" s="1319">
        <v>0</v>
      </c>
      <c r="U14" s="1319">
        <v>0</v>
      </c>
      <c r="V14" s="1319">
        <v>0</v>
      </c>
      <c r="W14" s="1319">
        <v>0</v>
      </c>
      <c r="X14" s="1319">
        <v>0</v>
      </c>
    </row>
    <row r="15" spans="1:24" ht="34.5" thickBot="1">
      <c r="A15" s="1744">
        <v>1</v>
      </c>
      <c r="B15" s="1320" t="s">
        <v>22</v>
      </c>
      <c r="C15" s="1321" t="s">
        <v>23</v>
      </c>
      <c r="D15" s="1317">
        <f t="shared" ref="D15:D72" si="0">H15+K15</f>
        <v>36</v>
      </c>
      <c r="E15" s="1317">
        <f>F15+G15</f>
        <v>0</v>
      </c>
      <c r="F15" s="1322"/>
      <c r="G15" s="1323"/>
      <c r="H15" s="1324">
        <f>I15+J15</f>
        <v>32</v>
      </c>
      <c r="I15" s="1126">
        <f>4+18+10</f>
        <v>32</v>
      </c>
      <c r="J15" s="1126"/>
      <c r="K15" s="1126">
        <v>4</v>
      </c>
      <c r="L15" s="1126">
        <v>4</v>
      </c>
      <c r="M15" s="1126"/>
      <c r="N15" s="1325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</row>
    <row r="16" spans="1:24" ht="15.75" thickBot="1">
      <c r="A16" s="1744"/>
      <c r="B16" s="833"/>
      <c r="C16" s="832" t="s">
        <v>24</v>
      </c>
      <c r="D16" s="1317">
        <f>D20+D18</f>
        <v>0.32200000000000001</v>
      </c>
      <c r="E16" s="1317">
        <f t="shared" ref="E16:E79" si="1">F16+G16</f>
        <v>0</v>
      </c>
      <c r="F16" s="694">
        <f>F18+F20+F22</f>
        <v>0</v>
      </c>
      <c r="G16" s="694">
        <f>G18+G20+G22</f>
        <v>0</v>
      </c>
      <c r="H16" s="1324">
        <f t="shared" ref="H16:H20" si="2">I16</f>
        <v>0.26200000000000001</v>
      </c>
      <c r="I16" s="781">
        <f>I20+I18</f>
        <v>0.26200000000000001</v>
      </c>
      <c r="J16" s="781"/>
      <c r="K16" s="688">
        <f>0.06</f>
        <v>0.06</v>
      </c>
      <c r="L16" s="688">
        <v>0.06</v>
      </c>
      <c r="M16" s="781"/>
      <c r="N16" s="782">
        <f t="shared" ref="N16:X17" si="3">N18+N20</f>
        <v>0</v>
      </c>
      <c r="O16" s="694">
        <f t="shared" si="3"/>
        <v>0</v>
      </c>
      <c r="P16" s="694">
        <f t="shared" si="3"/>
        <v>0</v>
      </c>
      <c r="Q16" s="694">
        <f t="shared" si="3"/>
        <v>0</v>
      </c>
      <c r="R16" s="694">
        <f t="shared" si="3"/>
        <v>0</v>
      </c>
      <c r="S16" s="694">
        <f t="shared" si="3"/>
        <v>0</v>
      </c>
      <c r="T16" s="694">
        <f t="shared" si="3"/>
        <v>0</v>
      </c>
      <c r="U16" s="694">
        <f t="shared" si="3"/>
        <v>0</v>
      </c>
      <c r="V16" s="694">
        <f t="shared" si="3"/>
        <v>0</v>
      </c>
      <c r="W16" s="694">
        <f t="shared" si="3"/>
        <v>0</v>
      </c>
      <c r="X16" s="694">
        <f t="shared" si="3"/>
        <v>0</v>
      </c>
    </row>
    <row r="17" spans="1:24" ht="15.75" thickBot="1">
      <c r="A17" s="1744"/>
      <c r="B17" s="852" t="s">
        <v>25</v>
      </c>
      <c r="C17" s="786" t="s">
        <v>21</v>
      </c>
      <c r="D17" s="1317">
        <f>H17+K17</f>
        <v>445.62799999999999</v>
      </c>
      <c r="E17" s="1317">
        <f t="shared" si="1"/>
        <v>0</v>
      </c>
      <c r="F17" s="698">
        <f>F19+F21</f>
        <v>0</v>
      </c>
      <c r="G17" s="1326">
        <f>G19+G21</f>
        <v>0</v>
      </c>
      <c r="H17" s="1324">
        <f t="shared" si="2"/>
        <v>415.73099999999999</v>
      </c>
      <c r="I17" s="781">
        <f>I21+I19</f>
        <v>415.73099999999999</v>
      </c>
      <c r="J17" s="781"/>
      <c r="K17" s="688">
        <f>L17</f>
        <v>29.896999999999998</v>
      </c>
      <c r="L17" s="688">
        <v>29.896999999999998</v>
      </c>
      <c r="M17" s="781"/>
      <c r="N17" s="714">
        <f t="shared" si="3"/>
        <v>0</v>
      </c>
      <c r="O17" s="698">
        <f t="shared" si="3"/>
        <v>0</v>
      </c>
      <c r="P17" s="698">
        <f t="shared" si="3"/>
        <v>0</v>
      </c>
      <c r="Q17" s="698">
        <f t="shared" si="3"/>
        <v>0</v>
      </c>
      <c r="R17" s="698">
        <f t="shared" si="3"/>
        <v>0</v>
      </c>
      <c r="S17" s="698">
        <f t="shared" si="3"/>
        <v>0</v>
      </c>
      <c r="T17" s="698">
        <f t="shared" si="3"/>
        <v>0</v>
      </c>
      <c r="U17" s="698">
        <f t="shared" si="3"/>
        <v>0</v>
      </c>
      <c r="V17" s="698">
        <f t="shared" si="3"/>
        <v>0</v>
      </c>
      <c r="W17" s="698">
        <f t="shared" si="3"/>
        <v>0</v>
      </c>
      <c r="X17" s="698">
        <f t="shared" si="3"/>
        <v>0</v>
      </c>
    </row>
    <row r="18" spans="1:24" ht="15.75" thickBot="1">
      <c r="A18" s="783" t="s">
        <v>26</v>
      </c>
      <c r="B18" s="788" t="s">
        <v>27</v>
      </c>
      <c r="C18" s="786" t="s">
        <v>24</v>
      </c>
      <c r="D18" s="1317">
        <f>K18+H18</f>
        <v>0.17499999999999999</v>
      </c>
      <c r="E18" s="1317">
        <f t="shared" si="1"/>
        <v>0</v>
      </c>
      <c r="F18" s="699"/>
      <c r="G18" s="700"/>
      <c r="H18" s="1327">
        <f t="shared" si="2"/>
        <v>0.17499999999999999</v>
      </c>
      <c r="I18" s="1328">
        <f>0.02+0.026+0.129</f>
        <v>0.17499999999999999</v>
      </c>
      <c r="J18" s="688"/>
      <c r="K18" s="1329"/>
      <c r="L18" s="688"/>
      <c r="M18" s="688"/>
      <c r="N18" s="714">
        <f t="shared" ref="N18:N33" si="4">O18</f>
        <v>0</v>
      </c>
      <c r="O18" s="787"/>
      <c r="P18" s="1326">
        <f t="shared" ref="P18:P72" si="5">Q18</f>
        <v>0</v>
      </c>
      <c r="Q18" s="691"/>
      <c r="R18" s="701">
        <f t="shared" ref="R18:R72" si="6">S18+T18</f>
        <v>0</v>
      </c>
      <c r="S18" s="691"/>
      <c r="T18" s="691"/>
      <c r="U18" s="701">
        <f t="shared" ref="U18:U72" si="7">V18</f>
        <v>0</v>
      </c>
      <c r="V18" s="691"/>
      <c r="W18" s="701">
        <f t="shared" ref="W18:W40" si="8">X18</f>
        <v>0</v>
      </c>
      <c r="X18" s="691"/>
    </row>
    <row r="19" spans="1:24" ht="15.75" thickBot="1">
      <c r="A19" s="788"/>
      <c r="B19" s="788"/>
      <c r="C19" s="786" t="s">
        <v>21</v>
      </c>
      <c r="D19" s="1317">
        <f>K19+H19</f>
        <v>374.47199999999998</v>
      </c>
      <c r="E19" s="1317">
        <f t="shared" si="1"/>
        <v>0</v>
      </c>
      <c r="F19" s="699"/>
      <c r="G19" s="700"/>
      <c r="H19" s="1324">
        <f t="shared" si="2"/>
        <v>374.47199999999998</v>
      </c>
      <c r="I19" s="688">
        <f>3.309+73.848+297.315</f>
        <v>374.47199999999998</v>
      </c>
      <c r="J19" s="688"/>
      <c r="K19" s="1329"/>
      <c r="L19" s="688"/>
      <c r="M19" s="688"/>
      <c r="N19" s="701">
        <f t="shared" si="4"/>
        <v>0</v>
      </c>
      <c r="O19" s="690"/>
      <c r="P19" s="701">
        <f t="shared" si="5"/>
        <v>0</v>
      </c>
      <c r="Q19" s="691"/>
      <c r="R19" s="701">
        <f t="shared" si="6"/>
        <v>0</v>
      </c>
      <c r="S19" s="691"/>
      <c r="T19" s="691"/>
      <c r="U19" s="701">
        <f t="shared" si="7"/>
        <v>0</v>
      </c>
      <c r="V19" s="691"/>
      <c r="W19" s="701">
        <f t="shared" si="8"/>
        <v>0</v>
      </c>
      <c r="X19" s="691"/>
    </row>
    <row r="20" spans="1:24" ht="15.75" thickBot="1">
      <c r="A20" s="788" t="s">
        <v>28</v>
      </c>
      <c r="B20" s="788" t="s">
        <v>29</v>
      </c>
      <c r="C20" s="786" t="s">
        <v>24</v>
      </c>
      <c r="D20" s="1317">
        <f>H20+K20</f>
        <v>0.14700000000000002</v>
      </c>
      <c r="E20" s="1317">
        <f t="shared" si="1"/>
        <v>0</v>
      </c>
      <c r="F20" s="699"/>
      <c r="G20" s="700"/>
      <c r="H20" s="1324">
        <f t="shared" si="2"/>
        <v>8.7000000000000008E-2</v>
      </c>
      <c r="I20" s="789">
        <f>0.029+0.058</f>
        <v>8.7000000000000008E-2</v>
      </c>
      <c r="J20" s="688"/>
      <c r="K20" s="688">
        <f>L20</f>
        <v>0.06</v>
      </c>
      <c r="L20" s="688">
        <v>0.06</v>
      </c>
      <c r="M20" s="688"/>
      <c r="N20" s="701">
        <f t="shared" si="4"/>
        <v>0</v>
      </c>
      <c r="O20" s="690"/>
      <c r="P20" s="701">
        <f t="shared" si="5"/>
        <v>0</v>
      </c>
      <c r="Q20" s="691"/>
      <c r="R20" s="701">
        <f t="shared" si="6"/>
        <v>0</v>
      </c>
      <c r="S20" s="691"/>
      <c r="T20" s="691"/>
      <c r="U20" s="701">
        <f t="shared" si="7"/>
        <v>0</v>
      </c>
      <c r="V20" s="691"/>
      <c r="W20" s="701">
        <f t="shared" si="8"/>
        <v>0</v>
      </c>
      <c r="X20" s="691"/>
    </row>
    <row r="21" spans="1:24" ht="15.75" thickBot="1">
      <c r="A21" s="709"/>
      <c r="B21" s="709"/>
      <c r="C21" s="828" t="s">
        <v>21</v>
      </c>
      <c r="D21" s="1317">
        <f>K21+H21</f>
        <v>71.156000000000006</v>
      </c>
      <c r="E21" s="1317">
        <f t="shared" si="1"/>
        <v>0</v>
      </c>
      <c r="F21" s="727"/>
      <c r="G21" s="728"/>
      <c r="H21" s="1324">
        <f>I21</f>
        <v>41.259</v>
      </c>
      <c r="I21" s="688">
        <f>7.44+33.819</f>
        <v>41.259</v>
      </c>
      <c r="J21" s="688"/>
      <c r="K21" s="688">
        <f>L21</f>
        <v>29.896999999999998</v>
      </c>
      <c r="L21" s="688">
        <f>29.897</f>
        <v>29.896999999999998</v>
      </c>
      <c r="M21" s="688"/>
      <c r="N21" s="864">
        <f t="shared" si="4"/>
        <v>0</v>
      </c>
      <c r="O21" s="690"/>
      <c r="P21" s="864">
        <f t="shared" si="5"/>
        <v>0</v>
      </c>
      <c r="Q21" s="691"/>
      <c r="R21" s="864">
        <f t="shared" si="6"/>
        <v>0</v>
      </c>
      <c r="S21" s="691"/>
      <c r="T21" s="691"/>
      <c r="U21" s="864">
        <f t="shared" si="7"/>
        <v>0</v>
      </c>
      <c r="V21" s="691"/>
      <c r="W21" s="864">
        <f t="shared" si="8"/>
        <v>0</v>
      </c>
      <c r="X21" s="691"/>
    </row>
    <row r="22" spans="1:24" ht="15.75" thickBot="1">
      <c r="A22" s="684" t="s">
        <v>30</v>
      </c>
      <c r="B22" s="684" t="s">
        <v>31</v>
      </c>
      <c r="C22" s="816" t="s">
        <v>21</v>
      </c>
      <c r="D22" s="1317">
        <f t="shared" si="0"/>
        <v>0</v>
      </c>
      <c r="E22" s="1317">
        <f t="shared" si="1"/>
        <v>0</v>
      </c>
      <c r="F22" s="686">
        <v>0</v>
      </c>
      <c r="G22" s="687">
        <v>0</v>
      </c>
      <c r="H22" s="1324"/>
      <c r="I22" s="688"/>
      <c r="J22" s="688"/>
      <c r="K22" s="1329"/>
      <c r="L22" s="688"/>
      <c r="M22" s="688"/>
      <c r="N22" s="689">
        <f t="shared" si="4"/>
        <v>0</v>
      </c>
      <c r="O22" s="690"/>
      <c r="P22" s="689">
        <f t="shared" si="5"/>
        <v>0</v>
      </c>
      <c r="Q22" s="691"/>
      <c r="R22" s="689">
        <f t="shared" si="6"/>
        <v>0</v>
      </c>
      <c r="S22" s="691"/>
      <c r="T22" s="691"/>
      <c r="U22" s="689">
        <f t="shared" si="7"/>
        <v>0</v>
      </c>
      <c r="V22" s="691"/>
      <c r="W22" s="689">
        <f t="shared" si="8"/>
        <v>0</v>
      </c>
      <c r="X22" s="691"/>
    </row>
    <row r="23" spans="1:24" ht="15.75" thickBot="1">
      <c r="A23" s="1330">
        <v>2</v>
      </c>
      <c r="B23" s="692" t="s">
        <v>32</v>
      </c>
      <c r="C23" s="809" t="s">
        <v>33</v>
      </c>
      <c r="D23" s="1317">
        <f>H23+K23</f>
        <v>1</v>
      </c>
      <c r="E23" s="1317">
        <f t="shared" si="1"/>
        <v>0</v>
      </c>
      <c r="F23" s="1331"/>
      <c r="G23" s="1332"/>
      <c r="H23" s="1324">
        <f t="shared" ref="H23:H28" si="9">I23</f>
        <v>1</v>
      </c>
      <c r="I23" s="1331">
        <f>1</f>
        <v>1</v>
      </c>
      <c r="J23" s="1331"/>
      <c r="K23" s="1317"/>
      <c r="L23" s="1331"/>
      <c r="M23" s="1331"/>
      <c r="N23" s="1333">
        <f t="shared" si="4"/>
        <v>0</v>
      </c>
      <c r="O23" s="690"/>
      <c r="P23" s="1333">
        <f t="shared" si="5"/>
        <v>0</v>
      </c>
      <c r="Q23" s="691"/>
      <c r="R23" s="1333">
        <f t="shared" si="6"/>
        <v>0</v>
      </c>
      <c r="S23" s="691"/>
      <c r="T23" s="691"/>
      <c r="U23" s="1333">
        <f t="shared" si="7"/>
        <v>0</v>
      </c>
      <c r="V23" s="691"/>
      <c r="W23" s="1333">
        <f t="shared" si="8"/>
        <v>0</v>
      </c>
      <c r="X23" s="691"/>
    </row>
    <row r="24" spans="1:24" ht="15.75" thickBot="1">
      <c r="A24" s="695"/>
      <c r="B24" s="696" t="s">
        <v>34</v>
      </c>
      <c r="C24" s="1334" t="s">
        <v>21</v>
      </c>
      <c r="D24" s="1317">
        <f t="shared" si="0"/>
        <v>81.304000000000002</v>
      </c>
      <c r="E24" s="1317">
        <f t="shared" si="1"/>
        <v>0</v>
      </c>
      <c r="F24" s="699"/>
      <c r="G24" s="700"/>
      <c r="H24" s="1317">
        <f t="shared" si="9"/>
        <v>81.304000000000002</v>
      </c>
      <c r="I24" s="699">
        <f>I26+I33</f>
        <v>81.304000000000002</v>
      </c>
      <c r="J24" s="699"/>
      <c r="K24" s="1317"/>
      <c r="L24" s="699"/>
      <c r="M24" s="699"/>
      <c r="N24" s="701">
        <f t="shared" si="4"/>
        <v>0</v>
      </c>
      <c r="O24" s="690"/>
      <c r="P24" s="701">
        <f t="shared" si="5"/>
        <v>0</v>
      </c>
      <c r="Q24" s="691"/>
      <c r="R24" s="701">
        <f t="shared" si="6"/>
        <v>0</v>
      </c>
      <c r="S24" s="691"/>
      <c r="T24" s="691"/>
      <c r="U24" s="701">
        <f t="shared" si="7"/>
        <v>0</v>
      </c>
      <c r="V24" s="691"/>
      <c r="W24" s="701">
        <f t="shared" si="8"/>
        <v>0</v>
      </c>
      <c r="X24" s="691"/>
    </row>
    <row r="25" spans="1:24" ht="15.75" thickBot="1">
      <c r="A25" s="702" t="s">
        <v>35</v>
      </c>
      <c r="B25" s="692" t="s">
        <v>36</v>
      </c>
      <c r="C25" s="809" t="s">
        <v>37</v>
      </c>
      <c r="D25" s="1317">
        <f t="shared" si="0"/>
        <v>18.128</v>
      </c>
      <c r="E25" s="1317">
        <f t="shared" si="1"/>
        <v>0</v>
      </c>
      <c r="F25" s="699"/>
      <c r="G25" s="700"/>
      <c r="H25" s="1317">
        <f t="shared" si="9"/>
        <v>18.128</v>
      </c>
      <c r="I25" s="699">
        <f>18.128</f>
        <v>18.128</v>
      </c>
      <c r="J25" s="699"/>
      <c r="K25" s="1317"/>
      <c r="L25" s="699"/>
      <c r="M25" s="699"/>
      <c r="N25" s="701">
        <f t="shared" si="4"/>
        <v>0</v>
      </c>
      <c r="O25" s="690"/>
      <c r="P25" s="701">
        <f t="shared" si="5"/>
        <v>0</v>
      </c>
      <c r="Q25" s="691"/>
      <c r="R25" s="701">
        <f t="shared" si="6"/>
        <v>0</v>
      </c>
      <c r="S25" s="691"/>
      <c r="T25" s="691"/>
      <c r="U25" s="701">
        <f t="shared" si="7"/>
        <v>0</v>
      </c>
      <c r="V25" s="691"/>
      <c r="W25" s="701">
        <f t="shared" si="8"/>
        <v>0</v>
      </c>
      <c r="X25" s="691"/>
    </row>
    <row r="26" spans="1:24" ht="15.75" thickBot="1">
      <c r="A26" s="702"/>
      <c r="B26" s="692"/>
      <c r="C26" s="809" t="s">
        <v>21</v>
      </c>
      <c r="D26" s="1317">
        <f t="shared" si="0"/>
        <v>77.641000000000005</v>
      </c>
      <c r="E26" s="1317">
        <f t="shared" si="1"/>
        <v>0</v>
      </c>
      <c r="F26" s="699"/>
      <c r="G26" s="700"/>
      <c r="H26" s="1317">
        <f t="shared" si="9"/>
        <v>77.641000000000005</v>
      </c>
      <c r="I26" s="699">
        <f>77.641</f>
        <v>77.641000000000005</v>
      </c>
      <c r="J26" s="699"/>
      <c r="K26" s="1317"/>
      <c r="L26" s="699"/>
      <c r="M26" s="699"/>
      <c r="N26" s="701">
        <f t="shared" si="4"/>
        <v>0</v>
      </c>
      <c r="O26" s="690"/>
      <c r="P26" s="701">
        <f t="shared" si="5"/>
        <v>0</v>
      </c>
      <c r="Q26" s="691"/>
      <c r="R26" s="701">
        <f t="shared" si="6"/>
        <v>0</v>
      </c>
      <c r="S26" s="691"/>
      <c r="T26" s="691"/>
      <c r="U26" s="701">
        <f t="shared" si="7"/>
        <v>0</v>
      </c>
      <c r="V26" s="691"/>
      <c r="W26" s="701">
        <f t="shared" si="8"/>
        <v>0</v>
      </c>
      <c r="X26" s="691"/>
    </row>
    <row r="27" spans="1:24" ht="23.25" thickBot="1">
      <c r="A27" s="703" t="s">
        <v>38</v>
      </c>
      <c r="B27" s="868" t="s">
        <v>39</v>
      </c>
      <c r="C27" s="845" t="s">
        <v>40</v>
      </c>
      <c r="D27" s="1317">
        <f t="shared" si="0"/>
        <v>0</v>
      </c>
      <c r="E27" s="1317">
        <f t="shared" si="1"/>
        <v>0</v>
      </c>
      <c r="F27" s="699"/>
      <c r="G27" s="700"/>
      <c r="H27" s="1317">
        <f t="shared" si="9"/>
        <v>0</v>
      </c>
      <c r="I27" s="699"/>
      <c r="J27" s="699"/>
      <c r="K27" s="1317"/>
      <c r="L27" s="699"/>
      <c r="M27" s="699"/>
      <c r="N27" s="701">
        <f t="shared" si="4"/>
        <v>0</v>
      </c>
      <c r="O27" s="690"/>
      <c r="P27" s="701">
        <f t="shared" si="5"/>
        <v>0</v>
      </c>
      <c r="Q27" s="691"/>
      <c r="R27" s="701">
        <f t="shared" si="6"/>
        <v>0</v>
      </c>
      <c r="S27" s="691"/>
      <c r="T27" s="691"/>
      <c r="U27" s="701">
        <f t="shared" si="7"/>
        <v>0</v>
      </c>
      <c r="V27" s="691"/>
      <c r="W27" s="701">
        <f t="shared" si="8"/>
        <v>0</v>
      </c>
      <c r="X27" s="691"/>
    </row>
    <row r="28" spans="1:24" ht="15.75" thickBot="1">
      <c r="A28" s="695"/>
      <c r="B28" s="869" t="s">
        <v>41</v>
      </c>
      <c r="C28" s="1334" t="s">
        <v>21</v>
      </c>
      <c r="D28" s="1317">
        <f t="shared" si="0"/>
        <v>0</v>
      </c>
      <c r="E28" s="1317">
        <f t="shared" si="1"/>
        <v>0</v>
      </c>
      <c r="F28" s="699"/>
      <c r="G28" s="700"/>
      <c r="H28" s="1317">
        <f t="shared" si="9"/>
        <v>0</v>
      </c>
      <c r="I28" s="699"/>
      <c r="J28" s="699"/>
      <c r="K28" s="1317"/>
      <c r="L28" s="699"/>
      <c r="M28" s="699"/>
      <c r="N28" s="701">
        <f t="shared" si="4"/>
        <v>0</v>
      </c>
      <c r="O28" s="690"/>
      <c r="P28" s="701">
        <f t="shared" si="5"/>
        <v>0</v>
      </c>
      <c r="Q28" s="691"/>
      <c r="R28" s="701">
        <f t="shared" si="6"/>
        <v>0</v>
      </c>
      <c r="S28" s="691"/>
      <c r="T28" s="691"/>
      <c r="U28" s="701">
        <f t="shared" si="7"/>
        <v>0</v>
      </c>
      <c r="V28" s="691"/>
      <c r="W28" s="701">
        <f t="shared" si="8"/>
        <v>0</v>
      </c>
      <c r="X28" s="691"/>
    </row>
    <row r="29" spans="1:24" ht="15.75" thickBot="1">
      <c r="A29" s="703" t="s">
        <v>42</v>
      </c>
      <c r="B29" s="704" t="s">
        <v>43</v>
      </c>
      <c r="C29" s="845" t="s">
        <v>40</v>
      </c>
      <c r="D29" s="1317">
        <f t="shared" si="0"/>
        <v>0</v>
      </c>
      <c r="E29" s="1317">
        <f t="shared" si="1"/>
        <v>0</v>
      </c>
      <c r="F29" s="699"/>
      <c r="G29" s="700"/>
      <c r="H29" s="1317"/>
      <c r="I29" s="699"/>
      <c r="J29" s="699"/>
      <c r="K29" s="1317"/>
      <c r="L29" s="699"/>
      <c r="M29" s="699"/>
      <c r="N29" s="701">
        <f t="shared" si="4"/>
        <v>0</v>
      </c>
      <c r="O29" s="690"/>
      <c r="P29" s="701">
        <f t="shared" si="5"/>
        <v>0</v>
      </c>
      <c r="Q29" s="691"/>
      <c r="R29" s="701">
        <f t="shared" si="6"/>
        <v>0</v>
      </c>
      <c r="S29" s="691"/>
      <c r="T29" s="691"/>
      <c r="U29" s="701">
        <f t="shared" si="7"/>
        <v>0</v>
      </c>
      <c r="V29" s="691"/>
      <c r="W29" s="701">
        <f t="shared" si="8"/>
        <v>0</v>
      </c>
      <c r="X29" s="691"/>
    </row>
    <row r="30" spans="1:24" ht="15.75" thickBot="1">
      <c r="A30" s="695"/>
      <c r="B30" s="696" t="s">
        <v>44</v>
      </c>
      <c r="C30" s="1334" t="s">
        <v>21</v>
      </c>
      <c r="D30" s="1317">
        <f t="shared" si="0"/>
        <v>0</v>
      </c>
      <c r="E30" s="1317">
        <f t="shared" si="1"/>
        <v>0</v>
      </c>
      <c r="F30" s="699"/>
      <c r="G30" s="700"/>
      <c r="H30" s="1317"/>
      <c r="I30" s="699"/>
      <c r="J30" s="699"/>
      <c r="K30" s="1317"/>
      <c r="L30" s="699"/>
      <c r="M30" s="699"/>
      <c r="N30" s="701">
        <f t="shared" si="4"/>
        <v>0</v>
      </c>
      <c r="O30" s="690"/>
      <c r="P30" s="701">
        <f t="shared" si="5"/>
        <v>0</v>
      </c>
      <c r="Q30" s="691"/>
      <c r="R30" s="701">
        <f t="shared" si="6"/>
        <v>0</v>
      </c>
      <c r="S30" s="691"/>
      <c r="T30" s="691"/>
      <c r="U30" s="701">
        <f t="shared" si="7"/>
        <v>0</v>
      </c>
      <c r="V30" s="691"/>
      <c r="W30" s="701">
        <f t="shared" si="8"/>
        <v>0</v>
      </c>
      <c r="X30" s="691"/>
    </row>
    <row r="31" spans="1:24" ht="15.75" thickBot="1">
      <c r="A31" s="703" t="s">
        <v>45</v>
      </c>
      <c r="B31" s="704" t="s">
        <v>46</v>
      </c>
      <c r="C31" s="845" t="s">
        <v>47</v>
      </c>
      <c r="D31" s="1317">
        <f t="shared" si="0"/>
        <v>0</v>
      </c>
      <c r="E31" s="1317">
        <f t="shared" si="1"/>
        <v>0</v>
      </c>
      <c r="F31" s="699"/>
      <c r="G31" s="700"/>
      <c r="H31" s="1317"/>
      <c r="I31" s="699"/>
      <c r="J31" s="699"/>
      <c r="K31" s="1317"/>
      <c r="L31" s="699"/>
      <c r="M31" s="699"/>
      <c r="N31" s="701">
        <f t="shared" si="4"/>
        <v>0</v>
      </c>
      <c r="O31" s="690"/>
      <c r="P31" s="701">
        <f t="shared" si="5"/>
        <v>0</v>
      </c>
      <c r="Q31" s="691"/>
      <c r="R31" s="701">
        <f t="shared" si="6"/>
        <v>0</v>
      </c>
      <c r="S31" s="691"/>
      <c r="T31" s="691"/>
      <c r="U31" s="701">
        <f t="shared" si="7"/>
        <v>0</v>
      </c>
      <c r="V31" s="691"/>
      <c r="W31" s="701">
        <f t="shared" si="8"/>
        <v>0</v>
      </c>
      <c r="X31" s="691"/>
    </row>
    <row r="32" spans="1:24" ht="15.75" thickBot="1">
      <c r="A32" s="695"/>
      <c r="B32" s="696"/>
      <c r="C32" s="809" t="s">
        <v>21</v>
      </c>
      <c r="D32" s="1317">
        <f t="shared" si="0"/>
        <v>0</v>
      </c>
      <c r="E32" s="1317">
        <f t="shared" si="1"/>
        <v>0</v>
      </c>
      <c r="F32" s="699"/>
      <c r="G32" s="700"/>
      <c r="H32" s="1317"/>
      <c r="I32" s="699"/>
      <c r="J32" s="699"/>
      <c r="K32" s="1317"/>
      <c r="L32" s="699"/>
      <c r="M32" s="699"/>
      <c r="N32" s="701">
        <f t="shared" si="4"/>
        <v>0</v>
      </c>
      <c r="O32" s="690"/>
      <c r="P32" s="701">
        <f t="shared" si="5"/>
        <v>0</v>
      </c>
      <c r="Q32" s="691"/>
      <c r="R32" s="701">
        <f t="shared" si="6"/>
        <v>0</v>
      </c>
      <c r="S32" s="691"/>
      <c r="T32" s="691"/>
      <c r="U32" s="701">
        <f t="shared" si="7"/>
        <v>0</v>
      </c>
      <c r="V32" s="691"/>
      <c r="W32" s="701">
        <f t="shared" si="8"/>
        <v>0</v>
      </c>
      <c r="X32" s="691"/>
    </row>
    <row r="33" spans="1:24" ht="23.25" thickBot="1">
      <c r="A33" s="695" t="s">
        <v>48</v>
      </c>
      <c r="B33" s="706" t="s">
        <v>49</v>
      </c>
      <c r="C33" s="816" t="s">
        <v>21</v>
      </c>
      <c r="D33" s="1317">
        <f>H33</f>
        <v>3.6629999999999998</v>
      </c>
      <c r="E33" s="1317">
        <f t="shared" si="1"/>
        <v>0</v>
      </c>
      <c r="F33" s="699"/>
      <c r="G33" s="700"/>
      <c r="H33" s="1317">
        <f>I33</f>
        <v>3.6629999999999998</v>
      </c>
      <c r="I33" s="699">
        <f>3.663</f>
        <v>3.6629999999999998</v>
      </c>
      <c r="J33" s="699"/>
      <c r="K33" s="1317"/>
      <c r="L33" s="699"/>
      <c r="M33" s="699"/>
      <c r="N33" s="701">
        <f t="shared" si="4"/>
        <v>0</v>
      </c>
      <c r="O33" s="690"/>
      <c r="P33" s="701">
        <f t="shared" si="5"/>
        <v>0</v>
      </c>
      <c r="Q33" s="691"/>
      <c r="R33" s="701">
        <f t="shared" si="6"/>
        <v>0</v>
      </c>
      <c r="S33" s="691"/>
      <c r="T33" s="691"/>
      <c r="U33" s="701">
        <f t="shared" si="7"/>
        <v>0</v>
      </c>
      <c r="V33" s="691"/>
      <c r="W33" s="701">
        <f t="shared" si="8"/>
        <v>0</v>
      </c>
      <c r="X33" s="691"/>
    </row>
    <row r="34" spans="1:24" ht="15.75" thickBot="1">
      <c r="A34" s="707">
        <v>3</v>
      </c>
      <c r="B34" s="708" t="s">
        <v>50</v>
      </c>
      <c r="C34" s="832" t="s">
        <v>51</v>
      </c>
      <c r="D34" s="1317">
        <f>H34+K34</f>
        <v>1.9979999999999998</v>
      </c>
      <c r="E34" s="1317">
        <f t="shared" si="1"/>
        <v>0</v>
      </c>
      <c r="F34" s="699"/>
      <c r="G34" s="700"/>
      <c r="H34" s="1317">
        <f>I34+J34</f>
        <v>1.6349999999999998</v>
      </c>
      <c r="I34" s="699">
        <f>0.421+0.617+0.475</f>
        <v>1.5129999999999999</v>
      </c>
      <c r="J34" s="699">
        <f>0.03+0.035+0.057</f>
        <v>0.122</v>
      </c>
      <c r="K34" s="1317">
        <f>L34+M34</f>
        <v>0.36299999999999999</v>
      </c>
      <c r="L34" s="699">
        <f>0.068+0.105+0.098</f>
        <v>0.27100000000000002</v>
      </c>
      <c r="M34" s="699">
        <f>0.092</f>
        <v>9.1999999999999998E-2</v>
      </c>
      <c r="N34" s="701">
        <v>0</v>
      </c>
      <c r="O34" s="690"/>
      <c r="P34" s="701">
        <f t="shared" si="5"/>
        <v>0</v>
      </c>
      <c r="Q34" s="691"/>
      <c r="R34" s="701">
        <f t="shared" si="6"/>
        <v>0</v>
      </c>
      <c r="S34" s="691"/>
      <c r="T34" s="691"/>
      <c r="U34" s="701">
        <f t="shared" si="7"/>
        <v>0</v>
      </c>
      <c r="V34" s="691"/>
      <c r="W34" s="701">
        <f t="shared" si="8"/>
        <v>0</v>
      </c>
      <c r="X34" s="691"/>
    </row>
    <row r="35" spans="1:24" ht="15.75" thickBot="1">
      <c r="A35" s="709"/>
      <c r="B35" s="710" t="s">
        <v>52</v>
      </c>
      <c r="C35" s="828" t="s">
        <v>21</v>
      </c>
      <c r="D35" s="1317">
        <f>H35+K35</f>
        <v>1409.9570000000001</v>
      </c>
      <c r="E35" s="1317">
        <f t="shared" si="1"/>
        <v>0</v>
      </c>
      <c r="F35" s="699"/>
      <c r="G35" s="700"/>
      <c r="H35" s="1317">
        <f>I35+J35</f>
        <v>1127.9580000000001</v>
      </c>
      <c r="I35" s="699">
        <f>14.479+10.86+10.86+27.751+13.271+9.048+13.271+7.238+13.271+14.479+390.974</f>
        <v>525.50199999999995</v>
      </c>
      <c r="J35" s="699">
        <f>39.259+60.497+466.033+36.667</f>
        <v>602.45600000000002</v>
      </c>
      <c r="K35" s="1317">
        <f>L35+M35</f>
        <v>281.99899999999997</v>
      </c>
      <c r="L35" s="699">
        <f>13.271+9.512+14.479+72.107+77.122</f>
        <v>186.49099999999999</v>
      </c>
      <c r="M35" s="699">
        <f>95.508</f>
        <v>95.507999999999996</v>
      </c>
      <c r="N35" s="701">
        <v>0</v>
      </c>
      <c r="O35" s="690"/>
      <c r="P35" s="701">
        <f t="shared" si="5"/>
        <v>0</v>
      </c>
      <c r="Q35" s="691"/>
      <c r="R35" s="701">
        <f t="shared" si="6"/>
        <v>0</v>
      </c>
      <c r="S35" s="691"/>
      <c r="T35" s="691"/>
      <c r="U35" s="701">
        <f t="shared" si="7"/>
        <v>0</v>
      </c>
      <c r="V35" s="691"/>
      <c r="W35" s="701">
        <f t="shared" si="8"/>
        <v>0</v>
      </c>
      <c r="X35" s="691"/>
    </row>
    <row r="36" spans="1:24" ht="15.75" thickBot="1">
      <c r="A36" s="711">
        <v>4</v>
      </c>
      <c r="B36" s="712" t="s">
        <v>53</v>
      </c>
      <c r="C36" s="808" t="s">
        <v>24</v>
      </c>
      <c r="D36" s="1317">
        <f t="shared" si="0"/>
        <v>0.38500000000000001</v>
      </c>
      <c r="E36" s="1317">
        <f t="shared" si="1"/>
        <v>0</v>
      </c>
      <c r="F36" s="699"/>
      <c r="G36" s="700"/>
      <c r="H36" s="1317">
        <f>I36</f>
        <v>0.38500000000000001</v>
      </c>
      <c r="I36" s="699">
        <f>0.127+0.018+0.24</f>
        <v>0.38500000000000001</v>
      </c>
      <c r="J36" s="699"/>
      <c r="K36" s="1317"/>
      <c r="L36" s="699"/>
      <c r="M36" s="699"/>
      <c r="N36" s="714">
        <f t="shared" ref="N36:N72" si="10">O36</f>
        <v>0</v>
      </c>
      <c r="O36" s="715"/>
      <c r="P36" s="698">
        <f t="shared" si="5"/>
        <v>0</v>
      </c>
      <c r="Q36" s="694"/>
      <c r="R36" s="698">
        <f t="shared" si="6"/>
        <v>0</v>
      </c>
      <c r="S36" s="694"/>
      <c r="T36" s="694"/>
      <c r="U36" s="698">
        <f t="shared" si="7"/>
        <v>0</v>
      </c>
      <c r="V36" s="694"/>
      <c r="W36" s="698">
        <f t="shared" si="8"/>
        <v>0</v>
      </c>
      <c r="X36" s="694"/>
    </row>
    <row r="37" spans="1:24" ht="15.75" thickBot="1">
      <c r="A37" s="716"/>
      <c r="B37" s="717"/>
      <c r="C37" s="790" t="s">
        <v>21</v>
      </c>
      <c r="D37" s="1317">
        <f t="shared" si="0"/>
        <v>185.74099999999999</v>
      </c>
      <c r="E37" s="1317">
        <f t="shared" si="1"/>
        <v>0</v>
      </c>
      <c r="F37" s="699"/>
      <c r="G37" s="700"/>
      <c r="H37" s="1317">
        <f>I37</f>
        <v>185.74099999999999</v>
      </c>
      <c r="I37" s="699">
        <f>32.784+3.107+149.85</f>
        <v>185.74099999999999</v>
      </c>
      <c r="J37" s="699"/>
      <c r="K37" s="1317"/>
      <c r="L37" s="699"/>
      <c r="M37" s="699"/>
      <c r="N37" s="714">
        <f t="shared" si="10"/>
        <v>0</v>
      </c>
      <c r="O37" s="719"/>
      <c r="P37" s="698">
        <f t="shared" si="5"/>
        <v>0</v>
      </c>
      <c r="Q37" s="720"/>
      <c r="R37" s="698">
        <f t="shared" si="6"/>
        <v>0</v>
      </c>
      <c r="S37" s="720"/>
      <c r="T37" s="720"/>
      <c r="U37" s="698">
        <f t="shared" si="7"/>
        <v>0</v>
      </c>
      <c r="V37" s="720"/>
      <c r="W37" s="698">
        <f t="shared" si="8"/>
        <v>0</v>
      </c>
      <c r="X37" s="720"/>
    </row>
    <row r="38" spans="1:24" ht="15.75" thickBot="1">
      <c r="A38" s="711">
        <v>5</v>
      </c>
      <c r="B38" s="712" t="s">
        <v>54</v>
      </c>
      <c r="C38" s="808" t="s">
        <v>24</v>
      </c>
      <c r="D38" s="1317">
        <f>H38+K38</f>
        <v>4.5670000000000002</v>
      </c>
      <c r="E38" s="1317">
        <f t="shared" si="1"/>
        <v>0</v>
      </c>
      <c r="F38" s="699"/>
      <c r="G38" s="700"/>
      <c r="H38" s="699">
        <f>I38</f>
        <v>4.1360000000000001</v>
      </c>
      <c r="I38" s="699">
        <f>2.541+0.727+0.868</f>
        <v>4.1360000000000001</v>
      </c>
      <c r="J38" s="699"/>
      <c r="K38" s="699">
        <f>L38</f>
        <v>0.43099999999999999</v>
      </c>
      <c r="L38" s="699">
        <v>0.43099999999999999</v>
      </c>
      <c r="M38" s="699"/>
      <c r="N38" s="714">
        <f t="shared" si="10"/>
        <v>0</v>
      </c>
      <c r="O38" s="721"/>
      <c r="P38" s="698">
        <f t="shared" si="5"/>
        <v>0</v>
      </c>
      <c r="Q38" s="722"/>
      <c r="R38" s="698">
        <f t="shared" si="6"/>
        <v>0</v>
      </c>
      <c r="S38" s="722"/>
      <c r="T38" s="722"/>
      <c r="U38" s="698">
        <f t="shared" si="7"/>
        <v>0</v>
      </c>
      <c r="V38" s="722"/>
      <c r="W38" s="698">
        <f t="shared" si="8"/>
        <v>0</v>
      </c>
      <c r="X38" s="722"/>
    </row>
    <row r="39" spans="1:24" ht="15.75" thickBot="1">
      <c r="A39" s="723"/>
      <c r="B39" s="710" t="s">
        <v>55</v>
      </c>
      <c r="C39" s="786" t="s">
        <v>56</v>
      </c>
      <c r="D39" s="1317">
        <f t="shared" si="0"/>
        <v>11</v>
      </c>
      <c r="E39" s="1317">
        <f t="shared" si="1"/>
        <v>0</v>
      </c>
      <c r="F39" s="699"/>
      <c r="G39" s="700"/>
      <c r="H39" s="699">
        <f>I39</f>
        <v>10</v>
      </c>
      <c r="I39" s="699">
        <f>5+2+3</f>
        <v>10</v>
      </c>
      <c r="J39" s="699"/>
      <c r="K39" s="699">
        <f>L39</f>
        <v>1</v>
      </c>
      <c r="L39" s="699">
        <v>1</v>
      </c>
      <c r="M39" s="699"/>
      <c r="N39" s="714">
        <f t="shared" si="10"/>
        <v>0</v>
      </c>
      <c r="O39" s="715"/>
      <c r="P39" s="698">
        <f t="shared" si="5"/>
        <v>0</v>
      </c>
      <c r="Q39" s="724"/>
      <c r="R39" s="698">
        <f t="shared" si="6"/>
        <v>0</v>
      </c>
      <c r="S39" s="724"/>
      <c r="T39" s="724"/>
      <c r="U39" s="698">
        <f t="shared" si="7"/>
        <v>0</v>
      </c>
      <c r="V39" s="724"/>
      <c r="W39" s="698">
        <f t="shared" si="8"/>
        <v>0</v>
      </c>
      <c r="X39" s="724"/>
    </row>
    <row r="40" spans="1:24" ht="15.75" thickBot="1">
      <c r="A40" s="725"/>
      <c r="B40" s="692"/>
      <c r="C40" s="809" t="s">
        <v>21</v>
      </c>
      <c r="D40" s="1317">
        <f t="shared" si="0"/>
        <v>1520.7380000000001</v>
      </c>
      <c r="E40" s="1317">
        <f t="shared" si="1"/>
        <v>0</v>
      </c>
      <c r="F40" s="727"/>
      <c r="G40" s="728"/>
      <c r="H40" s="699">
        <f>I40</f>
        <v>1417.933</v>
      </c>
      <c r="I40" s="699">
        <f>894.222+245.666+278.045</f>
        <v>1417.933</v>
      </c>
      <c r="J40" s="699"/>
      <c r="K40" s="699">
        <f>L40</f>
        <v>102.80500000000001</v>
      </c>
      <c r="L40" s="699">
        <v>102.80500000000001</v>
      </c>
      <c r="M40" s="699"/>
      <c r="N40" s="729">
        <f t="shared" si="10"/>
        <v>0</v>
      </c>
      <c r="O40" s="730"/>
      <c r="P40" s="726">
        <f t="shared" si="5"/>
        <v>0</v>
      </c>
      <c r="Q40" s="726"/>
      <c r="R40" s="726">
        <f t="shared" si="6"/>
        <v>0</v>
      </c>
      <c r="S40" s="726"/>
      <c r="T40" s="726"/>
      <c r="U40" s="726">
        <f t="shared" si="7"/>
        <v>0</v>
      </c>
      <c r="V40" s="726"/>
      <c r="W40" s="726">
        <f t="shared" si="8"/>
        <v>0</v>
      </c>
      <c r="X40" s="726"/>
    </row>
    <row r="41" spans="1:24" ht="21.75" thickBot="1">
      <c r="A41" s="731" t="s">
        <v>57</v>
      </c>
      <c r="B41" s="732" t="s">
        <v>58</v>
      </c>
      <c r="C41" s="808" t="s">
        <v>24</v>
      </c>
      <c r="D41" s="1317">
        <f>I41+L41</f>
        <v>3.5000000000000003E-2</v>
      </c>
      <c r="E41" s="1317">
        <f t="shared" si="1"/>
        <v>0</v>
      </c>
      <c r="F41" s="733"/>
      <c r="G41" s="734"/>
      <c r="H41" s="1317">
        <f t="shared" ref="H41:H46" si="11">I41</f>
        <v>3.5000000000000003E-2</v>
      </c>
      <c r="I41" s="699">
        <f>0.035</f>
        <v>3.5000000000000003E-2</v>
      </c>
      <c r="J41" s="699"/>
      <c r="K41" s="699"/>
      <c r="L41" s="699"/>
      <c r="M41" s="699"/>
      <c r="N41" s="735">
        <f t="shared" si="10"/>
        <v>0</v>
      </c>
      <c r="O41" s="736"/>
      <c r="P41" s="722">
        <f t="shared" si="5"/>
        <v>0</v>
      </c>
      <c r="Q41" s="737"/>
      <c r="R41" s="722">
        <f t="shared" si="6"/>
        <v>0</v>
      </c>
      <c r="S41" s="737"/>
      <c r="T41" s="737"/>
      <c r="U41" s="722">
        <f t="shared" si="7"/>
        <v>0</v>
      </c>
      <c r="V41" s="737"/>
      <c r="W41" s="722"/>
      <c r="X41" s="737"/>
    </row>
    <row r="42" spans="1:24" ht="15.75" thickBot="1">
      <c r="A42" s="738"/>
      <c r="B42" s="739"/>
      <c r="C42" s="1334" t="s">
        <v>21</v>
      </c>
      <c r="D42" s="1317">
        <f>I42+L42</f>
        <v>4.2880000000000003</v>
      </c>
      <c r="E42" s="1317">
        <f t="shared" si="1"/>
        <v>0</v>
      </c>
      <c r="F42" s="740"/>
      <c r="G42" s="741"/>
      <c r="H42" s="1317">
        <f t="shared" si="11"/>
        <v>4.2880000000000003</v>
      </c>
      <c r="I42" s="699">
        <f>4.288</f>
        <v>4.2880000000000003</v>
      </c>
      <c r="J42" s="699"/>
      <c r="K42" s="699"/>
      <c r="L42" s="699"/>
      <c r="M42" s="699"/>
      <c r="N42" s="742">
        <f t="shared" si="10"/>
        <v>0</v>
      </c>
      <c r="O42" s="715"/>
      <c r="P42" s="720">
        <f t="shared" si="5"/>
        <v>0</v>
      </c>
      <c r="Q42" s="724"/>
      <c r="R42" s="720">
        <f t="shared" si="6"/>
        <v>0</v>
      </c>
      <c r="S42" s="743"/>
      <c r="T42" s="743"/>
      <c r="U42" s="720">
        <f t="shared" si="7"/>
        <v>0</v>
      </c>
      <c r="V42" s="743"/>
      <c r="W42" s="720"/>
      <c r="X42" s="743"/>
    </row>
    <row r="43" spans="1:24" ht="32.25" thickBot="1">
      <c r="A43" s="744"/>
      <c r="B43" s="732" t="s">
        <v>59</v>
      </c>
      <c r="C43" s="808" t="s">
        <v>24</v>
      </c>
      <c r="D43" s="1317">
        <f t="shared" si="0"/>
        <v>7.9150000000000012E-2</v>
      </c>
      <c r="E43" s="1317">
        <f t="shared" si="1"/>
        <v>0</v>
      </c>
      <c r="F43" s="733"/>
      <c r="G43" s="734"/>
      <c r="H43" s="699">
        <f t="shared" si="11"/>
        <v>7.9150000000000012E-2</v>
      </c>
      <c r="I43" s="699">
        <f>0.00175+0.0014+0.069+0.007</f>
        <v>7.9150000000000012E-2</v>
      </c>
      <c r="J43" s="699"/>
      <c r="K43" s="1317"/>
      <c r="L43" s="699"/>
      <c r="M43" s="699"/>
      <c r="N43" s="745">
        <f t="shared" si="10"/>
        <v>0</v>
      </c>
      <c r="O43" s="690"/>
      <c r="P43" s="745">
        <f t="shared" si="5"/>
        <v>0</v>
      </c>
      <c r="Q43" s="691"/>
      <c r="R43" s="735">
        <f t="shared" si="6"/>
        <v>0</v>
      </c>
      <c r="S43" s="737"/>
      <c r="T43" s="737"/>
      <c r="U43" s="722">
        <f t="shared" si="7"/>
        <v>0</v>
      </c>
      <c r="V43" s="737"/>
      <c r="W43" s="722"/>
      <c r="X43" s="737"/>
    </row>
    <row r="44" spans="1:24" ht="15.75" thickBot="1">
      <c r="A44" s="746"/>
      <c r="B44" s="739"/>
      <c r="C44" s="1334" t="s">
        <v>21</v>
      </c>
      <c r="D44" s="1317">
        <f t="shared" si="0"/>
        <v>122.19199999999999</v>
      </c>
      <c r="E44" s="1317">
        <f t="shared" si="1"/>
        <v>0</v>
      </c>
      <c r="F44" s="740"/>
      <c r="G44" s="741"/>
      <c r="H44" s="699">
        <f t="shared" si="11"/>
        <v>122.19199999999999</v>
      </c>
      <c r="I44" s="699">
        <f>2.46+1.968+112.309+5.455</f>
        <v>122.19199999999999</v>
      </c>
      <c r="J44" s="699"/>
      <c r="K44" s="1317"/>
      <c r="L44" s="699"/>
      <c r="M44" s="699"/>
      <c r="N44" s="747">
        <f t="shared" si="10"/>
        <v>0</v>
      </c>
      <c r="O44" s="690"/>
      <c r="P44" s="747">
        <f t="shared" si="5"/>
        <v>0</v>
      </c>
      <c r="Q44" s="691"/>
      <c r="R44" s="742">
        <f t="shared" si="6"/>
        <v>0</v>
      </c>
      <c r="S44" s="743"/>
      <c r="T44" s="743"/>
      <c r="U44" s="720">
        <f t="shared" si="7"/>
        <v>0</v>
      </c>
      <c r="V44" s="743"/>
      <c r="W44" s="720"/>
      <c r="X44" s="743"/>
    </row>
    <row r="45" spans="1:24" ht="15.75" thickBot="1">
      <c r="A45" s="711">
        <v>7</v>
      </c>
      <c r="B45" s="712" t="s">
        <v>60</v>
      </c>
      <c r="C45" s="808" t="s">
        <v>47</v>
      </c>
      <c r="D45" s="1317">
        <f>I45+L45</f>
        <v>23</v>
      </c>
      <c r="E45" s="1317">
        <f t="shared" si="1"/>
        <v>0</v>
      </c>
      <c r="F45" s="699"/>
      <c r="G45" s="700"/>
      <c r="H45" s="1317">
        <f t="shared" si="11"/>
        <v>23</v>
      </c>
      <c r="I45" s="699">
        <f>4+19</f>
        <v>23</v>
      </c>
      <c r="J45" s="699"/>
      <c r="K45" s="1317"/>
      <c r="L45" s="699"/>
      <c r="M45" s="699"/>
      <c r="N45" s="714">
        <f t="shared" si="10"/>
        <v>0</v>
      </c>
      <c r="O45" s="715"/>
      <c r="P45" s="698">
        <f t="shared" si="5"/>
        <v>0</v>
      </c>
      <c r="Q45" s="694"/>
      <c r="R45" s="698">
        <f t="shared" si="6"/>
        <v>0</v>
      </c>
      <c r="S45" s="722"/>
      <c r="T45" s="722"/>
      <c r="U45" s="698">
        <f t="shared" si="7"/>
        <v>0</v>
      </c>
      <c r="V45" s="722"/>
      <c r="W45" s="698">
        <f t="shared" ref="W45:W72" si="12">X45</f>
        <v>0</v>
      </c>
      <c r="X45" s="722"/>
    </row>
    <row r="46" spans="1:24" ht="15.75" thickBot="1">
      <c r="A46" s="717"/>
      <c r="B46" s="739" t="s">
        <v>61</v>
      </c>
      <c r="C46" s="790" t="s">
        <v>21</v>
      </c>
      <c r="D46" s="1317">
        <f>I46+L46</f>
        <v>18.196000000000002</v>
      </c>
      <c r="E46" s="1317">
        <f t="shared" si="1"/>
        <v>0</v>
      </c>
      <c r="F46" s="699"/>
      <c r="G46" s="700"/>
      <c r="H46" s="1317">
        <f t="shared" si="11"/>
        <v>18.196000000000002</v>
      </c>
      <c r="I46" s="699">
        <f>5.232+12.964</f>
        <v>18.196000000000002</v>
      </c>
      <c r="J46" s="699"/>
      <c r="K46" s="1317"/>
      <c r="L46" s="699"/>
      <c r="M46" s="699"/>
      <c r="N46" s="714">
        <f t="shared" si="10"/>
        <v>0</v>
      </c>
      <c r="O46" s="719"/>
      <c r="P46" s="698">
        <f t="shared" si="5"/>
        <v>0</v>
      </c>
      <c r="Q46" s="720"/>
      <c r="R46" s="698">
        <f t="shared" si="6"/>
        <v>0</v>
      </c>
      <c r="S46" s="720"/>
      <c r="T46" s="720"/>
      <c r="U46" s="698">
        <f t="shared" si="7"/>
        <v>0</v>
      </c>
      <c r="V46" s="720"/>
      <c r="W46" s="698">
        <f t="shared" si="12"/>
        <v>0</v>
      </c>
      <c r="X46" s="720"/>
    </row>
    <row r="47" spans="1:24" ht="15.75" thickBot="1">
      <c r="A47" s="707">
        <v>8</v>
      </c>
      <c r="B47" s="708" t="s">
        <v>62</v>
      </c>
      <c r="C47" s="832" t="s">
        <v>47</v>
      </c>
      <c r="D47" s="1317">
        <f t="shared" si="0"/>
        <v>0</v>
      </c>
      <c r="E47" s="1317">
        <f t="shared" si="1"/>
        <v>0</v>
      </c>
      <c r="F47" s="699"/>
      <c r="G47" s="700"/>
      <c r="H47" s="1317">
        <f>I47</f>
        <v>0</v>
      </c>
      <c r="I47" s="699"/>
      <c r="J47" s="699"/>
      <c r="K47" s="1317"/>
      <c r="L47" s="699"/>
      <c r="M47" s="699"/>
      <c r="N47" s="714">
        <f t="shared" si="10"/>
        <v>0</v>
      </c>
      <c r="O47" s="715"/>
      <c r="P47" s="698">
        <f t="shared" si="5"/>
        <v>0</v>
      </c>
      <c r="Q47" s="722"/>
      <c r="R47" s="698">
        <f t="shared" si="6"/>
        <v>0</v>
      </c>
      <c r="S47" s="722"/>
      <c r="T47" s="722"/>
      <c r="U47" s="698">
        <f t="shared" si="7"/>
        <v>0</v>
      </c>
      <c r="V47" s="722"/>
      <c r="W47" s="698">
        <f t="shared" si="12"/>
        <v>0</v>
      </c>
      <c r="X47" s="722"/>
    </row>
    <row r="48" spans="1:24" ht="15.75" thickBot="1">
      <c r="A48" s="748"/>
      <c r="B48" s="749" t="s">
        <v>63</v>
      </c>
      <c r="C48" s="828" t="s">
        <v>21</v>
      </c>
      <c r="D48" s="1317">
        <f t="shared" si="0"/>
        <v>0</v>
      </c>
      <c r="E48" s="1317">
        <f t="shared" si="1"/>
        <v>0</v>
      </c>
      <c r="F48" s="699"/>
      <c r="G48" s="700"/>
      <c r="H48" s="1317"/>
      <c r="I48" s="699"/>
      <c r="J48" s="699"/>
      <c r="K48" s="1317"/>
      <c r="L48" s="699"/>
      <c r="M48" s="699"/>
      <c r="N48" s="714">
        <f t="shared" si="10"/>
        <v>0</v>
      </c>
      <c r="O48" s="730"/>
      <c r="P48" s="698">
        <f t="shared" si="5"/>
        <v>0</v>
      </c>
      <c r="Q48" s="720"/>
      <c r="R48" s="698">
        <f t="shared" si="6"/>
        <v>0</v>
      </c>
      <c r="S48" s="720"/>
      <c r="T48" s="720"/>
      <c r="U48" s="698">
        <f t="shared" si="7"/>
        <v>0</v>
      </c>
      <c r="V48" s="720"/>
      <c r="W48" s="698">
        <f t="shared" si="12"/>
        <v>0</v>
      </c>
      <c r="X48" s="720"/>
    </row>
    <row r="49" spans="1:24" ht="15.75" thickBot="1">
      <c r="A49" s="711">
        <v>9</v>
      </c>
      <c r="B49" s="712" t="s">
        <v>64</v>
      </c>
      <c r="C49" s="808" t="s">
        <v>51</v>
      </c>
      <c r="D49" s="1317">
        <f t="shared" si="0"/>
        <v>0</v>
      </c>
      <c r="E49" s="1317">
        <f t="shared" si="1"/>
        <v>0</v>
      </c>
      <c r="F49" s="699"/>
      <c r="G49" s="700"/>
      <c r="H49" s="1317"/>
      <c r="I49" s="699"/>
      <c r="J49" s="699"/>
      <c r="K49" s="1317"/>
      <c r="L49" s="699"/>
      <c r="M49" s="699"/>
      <c r="N49" s="714">
        <f t="shared" si="10"/>
        <v>0</v>
      </c>
      <c r="O49" s="736"/>
      <c r="P49" s="698">
        <f t="shared" si="5"/>
        <v>0</v>
      </c>
      <c r="Q49" s="722"/>
      <c r="R49" s="698">
        <f t="shared" si="6"/>
        <v>0</v>
      </c>
      <c r="S49" s="722"/>
      <c r="T49" s="722"/>
      <c r="U49" s="698">
        <f t="shared" si="7"/>
        <v>0</v>
      </c>
      <c r="V49" s="722"/>
      <c r="W49" s="698">
        <f t="shared" si="12"/>
        <v>0</v>
      </c>
      <c r="X49" s="722"/>
    </row>
    <row r="50" spans="1:24" ht="12" customHeight="1" thickBot="1">
      <c r="A50" s="748"/>
      <c r="B50" s="709"/>
      <c r="C50" s="828" t="s">
        <v>21</v>
      </c>
      <c r="D50" s="1317">
        <f t="shared" si="0"/>
        <v>0</v>
      </c>
      <c r="E50" s="1317">
        <f t="shared" si="1"/>
        <v>0</v>
      </c>
      <c r="F50" s="699"/>
      <c r="G50" s="700"/>
      <c r="H50" s="1317"/>
      <c r="I50" s="699"/>
      <c r="J50" s="699"/>
      <c r="K50" s="1317"/>
      <c r="L50" s="699"/>
      <c r="M50" s="699"/>
      <c r="N50" s="714">
        <f t="shared" si="10"/>
        <v>0</v>
      </c>
      <c r="O50" s="730"/>
      <c r="P50" s="698">
        <f t="shared" si="5"/>
        <v>0</v>
      </c>
      <c r="Q50" s="720"/>
      <c r="R50" s="698">
        <f t="shared" si="6"/>
        <v>0</v>
      </c>
      <c r="S50" s="720"/>
      <c r="T50" s="720"/>
      <c r="U50" s="698">
        <f t="shared" si="7"/>
        <v>0</v>
      </c>
      <c r="V50" s="720"/>
      <c r="W50" s="698">
        <f t="shared" si="12"/>
        <v>0</v>
      </c>
      <c r="X50" s="720"/>
    </row>
    <row r="51" spans="1:24" ht="15.75" thickBot="1">
      <c r="A51" s="711">
        <v>10</v>
      </c>
      <c r="B51" s="712" t="s">
        <v>65</v>
      </c>
      <c r="C51" s="808" t="s">
        <v>47</v>
      </c>
      <c r="D51" s="1317">
        <f t="shared" si="0"/>
        <v>10</v>
      </c>
      <c r="E51" s="1317">
        <f t="shared" si="1"/>
        <v>0</v>
      </c>
      <c r="F51" s="699"/>
      <c r="G51" s="700"/>
      <c r="H51" s="1317">
        <f>I51+J51</f>
        <v>10</v>
      </c>
      <c r="I51" s="699">
        <f>1</f>
        <v>1</v>
      </c>
      <c r="J51" s="699">
        <f>1+5+3</f>
        <v>9</v>
      </c>
      <c r="K51" s="1317"/>
      <c r="L51" s="699"/>
      <c r="M51" s="699"/>
      <c r="N51" s="714">
        <f t="shared" si="10"/>
        <v>0</v>
      </c>
      <c r="O51" s="736"/>
      <c r="P51" s="698">
        <f t="shared" si="5"/>
        <v>0</v>
      </c>
      <c r="Q51" s="722"/>
      <c r="R51" s="698">
        <f t="shared" si="6"/>
        <v>0</v>
      </c>
      <c r="S51" s="722"/>
      <c r="T51" s="722"/>
      <c r="U51" s="698">
        <f t="shared" si="7"/>
        <v>0</v>
      </c>
      <c r="V51" s="722"/>
      <c r="W51" s="698">
        <f t="shared" si="12"/>
        <v>0</v>
      </c>
      <c r="X51" s="722"/>
    </row>
    <row r="52" spans="1:24" ht="15.75" thickBot="1">
      <c r="A52" s="750"/>
      <c r="B52" s="739" t="s">
        <v>66</v>
      </c>
      <c r="C52" s="790" t="s">
        <v>21</v>
      </c>
      <c r="D52" s="1317">
        <f>H52</f>
        <v>79.90100000000001</v>
      </c>
      <c r="E52" s="1317">
        <f t="shared" si="1"/>
        <v>0</v>
      </c>
      <c r="F52" s="699"/>
      <c r="G52" s="700"/>
      <c r="H52" s="1317">
        <f>I52+J52</f>
        <v>79.90100000000001</v>
      </c>
      <c r="I52" s="699">
        <f>11.734+34.06+4.107</f>
        <v>49.901000000000003</v>
      </c>
      <c r="J52" s="699">
        <f>30</f>
        <v>30</v>
      </c>
      <c r="K52" s="1317"/>
      <c r="L52" s="699"/>
      <c r="M52" s="699"/>
      <c r="N52" s="714">
        <f t="shared" si="10"/>
        <v>0</v>
      </c>
      <c r="O52" s="719"/>
      <c r="P52" s="698">
        <f t="shared" si="5"/>
        <v>0</v>
      </c>
      <c r="Q52" s="720"/>
      <c r="R52" s="698">
        <f t="shared" si="6"/>
        <v>0</v>
      </c>
      <c r="S52" s="720"/>
      <c r="T52" s="720"/>
      <c r="U52" s="698">
        <f t="shared" si="7"/>
        <v>0</v>
      </c>
      <c r="V52" s="720"/>
      <c r="W52" s="698">
        <f t="shared" si="12"/>
        <v>0</v>
      </c>
      <c r="X52" s="720"/>
    </row>
    <row r="53" spans="1:24" ht="15.75" thickBot="1">
      <c r="A53" s="711">
        <v>11</v>
      </c>
      <c r="B53" s="712" t="s">
        <v>67</v>
      </c>
      <c r="C53" s="808" t="s">
        <v>47</v>
      </c>
      <c r="D53" s="1317">
        <f t="shared" si="0"/>
        <v>5</v>
      </c>
      <c r="E53" s="1317">
        <f t="shared" si="1"/>
        <v>0</v>
      </c>
      <c r="F53" s="699"/>
      <c r="G53" s="700"/>
      <c r="H53" s="1317">
        <f t="shared" ref="H53:H54" si="13">I53</f>
        <v>5</v>
      </c>
      <c r="I53" s="699">
        <f>2+3</f>
        <v>5</v>
      </c>
      <c r="J53" s="699"/>
      <c r="K53" s="1317"/>
      <c r="L53" s="699"/>
      <c r="M53" s="699"/>
      <c r="N53" s="714">
        <f t="shared" si="10"/>
        <v>0</v>
      </c>
      <c r="O53" s="736"/>
      <c r="P53" s="698">
        <f t="shared" si="5"/>
        <v>0</v>
      </c>
      <c r="Q53" s="722"/>
      <c r="R53" s="698">
        <f t="shared" si="6"/>
        <v>0</v>
      </c>
      <c r="S53" s="722"/>
      <c r="T53" s="722"/>
      <c r="U53" s="698">
        <f t="shared" si="7"/>
        <v>0</v>
      </c>
      <c r="V53" s="722"/>
      <c r="W53" s="698">
        <f t="shared" si="12"/>
        <v>0</v>
      </c>
      <c r="X53" s="722"/>
    </row>
    <row r="54" spans="1:24" ht="15.75" thickBot="1">
      <c r="A54" s="750"/>
      <c r="B54" s="717"/>
      <c r="C54" s="790" t="s">
        <v>21</v>
      </c>
      <c r="D54" s="1317">
        <f t="shared" si="0"/>
        <v>59.700999999999993</v>
      </c>
      <c r="E54" s="1317">
        <f t="shared" si="1"/>
        <v>0</v>
      </c>
      <c r="F54" s="699"/>
      <c r="G54" s="700"/>
      <c r="H54" s="1317">
        <f t="shared" si="13"/>
        <v>59.700999999999993</v>
      </c>
      <c r="I54" s="699">
        <f>43.87+15.831</f>
        <v>59.700999999999993</v>
      </c>
      <c r="J54" s="699"/>
      <c r="K54" s="1317"/>
      <c r="L54" s="699"/>
      <c r="M54" s="699"/>
      <c r="N54" s="714">
        <f t="shared" si="10"/>
        <v>0</v>
      </c>
      <c r="O54" s="719"/>
      <c r="P54" s="698">
        <f t="shared" si="5"/>
        <v>0</v>
      </c>
      <c r="Q54" s="720"/>
      <c r="R54" s="698">
        <f t="shared" si="6"/>
        <v>0</v>
      </c>
      <c r="S54" s="720"/>
      <c r="T54" s="720"/>
      <c r="U54" s="698">
        <f t="shared" si="7"/>
        <v>0</v>
      </c>
      <c r="V54" s="720"/>
      <c r="W54" s="698">
        <f t="shared" si="12"/>
        <v>0</v>
      </c>
      <c r="X54" s="720"/>
    </row>
    <row r="55" spans="1:24" ht="15.75" thickBot="1">
      <c r="A55" s="711">
        <v>12</v>
      </c>
      <c r="B55" s="712" t="s">
        <v>68</v>
      </c>
      <c r="C55" s="808" t="s">
        <v>47</v>
      </c>
      <c r="D55" s="1317">
        <f t="shared" si="0"/>
        <v>106</v>
      </c>
      <c r="E55" s="1317">
        <f t="shared" si="1"/>
        <v>0</v>
      </c>
      <c r="F55" s="699"/>
      <c r="G55" s="700"/>
      <c r="H55" s="1317">
        <f>I55+J55</f>
        <v>96</v>
      </c>
      <c r="I55" s="699">
        <f>1+4+4+1+1+1+1+1+2+1+21+31</f>
        <v>69</v>
      </c>
      <c r="J55" s="699">
        <f>27</f>
        <v>27</v>
      </c>
      <c r="K55" s="1317">
        <f>L55</f>
        <v>10</v>
      </c>
      <c r="L55" s="699">
        <f>1+1+1+1+6</f>
        <v>10</v>
      </c>
      <c r="M55" s="699"/>
      <c r="N55" s="714">
        <f t="shared" si="10"/>
        <v>0</v>
      </c>
      <c r="O55" s="736"/>
      <c r="P55" s="698">
        <f t="shared" si="5"/>
        <v>0</v>
      </c>
      <c r="Q55" s="722"/>
      <c r="R55" s="698">
        <f t="shared" si="6"/>
        <v>0</v>
      </c>
      <c r="S55" s="722"/>
      <c r="T55" s="722"/>
      <c r="U55" s="698">
        <f t="shared" si="7"/>
        <v>0</v>
      </c>
      <c r="V55" s="722"/>
      <c r="W55" s="698">
        <f t="shared" si="12"/>
        <v>0</v>
      </c>
      <c r="X55" s="722"/>
    </row>
    <row r="56" spans="1:24" ht="15.75" thickBot="1">
      <c r="A56" s="750"/>
      <c r="B56" s="739" t="s">
        <v>69</v>
      </c>
      <c r="C56" s="790" t="s">
        <v>21</v>
      </c>
      <c r="D56" s="1317">
        <f t="shared" si="0"/>
        <v>603.38699999999994</v>
      </c>
      <c r="E56" s="1317">
        <f t="shared" si="1"/>
        <v>0</v>
      </c>
      <c r="F56" s="699"/>
      <c r="G56" s="700"/>
      <c r="H56" s="1317">
        <f>I56+J56</f>
        <v>570.62699999999995</v>
      </c>
      <c r="I56" s="699">
        <f>1.81+3.844+3.844+2.325+2.221+1.814+1.81+1.81+4.328+2.931+28.339+96.551</f>
        <v>151.62700000000001</v>
      </c>
      <c r="J56" s="699">
        <f>419</f>
        <v>419</v>
      </c>
      <c r="K56" s="1317">
        <f>L56</f>
        <v>32.76</v>
      </c>
      <c r="L56" s="699">
        <f>7.119+1.801+4.327+0.589+18.924</f>
        <v>32.76</v>
      </c>
      <c r="M56" s="699"/>
      <c r="N56" s="714">
        <f t="shared" si="10"/>
        <v>0</v>
      </c>
      <c r="O56" s="719"/>
      <c r="P56" s="698">
        <f t="shared" si="5"/>
        <v>0</v>
      </c>
      <c r="Q56" s="720"/>
      <c r="R56" s="698">
        <f t="shared" si="6"/>
        <v>0</v>
      </c>
      <c r="S56" s="720"/>
      <c r="T56" s="720"/>
      <c r="U56" s="698">
        <f t="shared" si="7"/>
        <v>0</v>
      </c>
      <c r="V56" s="720"/>
      <c r="W56" s="698">
        <f t="shared" si="12"/>
        <v>0</v>
      </c>
      <c r="X56" s="720"/>
    </row>
    <row r="57" spans="1:24" ht="15.75" thickBot="1">
      <c r="A57" s="711">
        <v>14</v>
      </c>
      <c r="B57" s="871" t="s">
        <v>70</v>
      </c>
      <c r="C57" s="808" t="s">
        <v>24</v>
      </c>
      <c r="D57" s="1317">
        <f t="shared" si="0"/>
        <v>3.9300000000000002E-2</v>
      </c>
      <c r="E57" s="1317">
        <f t="shared" si="1"/>
        <v>0</v>
      </c>
      <c r="F57" s="699"/>
      <c r="G57" s="700"/>
      <c r="H57" s="1317">
        <f>I57+J57</f>
        <v>3.9300000000000002E-2</v>
      </c>
      <c r="I57" s="699">
        <f>0.0003+0.023</f>
        <v>2.3300000000000001E-2</v>
      </c>
      <c r="J57" s="699">
        <f>0.004+0.012</f>
        <v>1.6E-2</v>
      </c>
      <c r="K57" s="1317"/>
      <c r="L57" s="699"/>
      <c r="M57" s="699"/>
      <c r="N57" s="714">
        <f t="shared" si="10"/>
        <v>0</v>
      </c>
      <c r="O57" s="721"/>
      <c r="P57" s="698">
        <f t="shared" si="5"/>
        <v>0</v>
      </c>
      <c r="Q57" s="722"/>
      <c r="R57" s="698">
        <f t="shared" si="6"/>
        <v>0</v>
      </c>
      <c r="S57" s="722"/>
      <c r="T57" s="722"/>
      <c r="U57" s="698">
        <f t="shared" si="7"/>
        <v>0</v>
      </c>
      <c r="V57" s="722"/>
      <c r="W57" s="698">
        <f t="shared" si="12"/>
        <v>0</v>
      </c>
      <c r="X57" s="722"/>
    </row>
    <row r="58" spans="1:24" ht="23.25" thickBot="1">
      <c r="A58" s="748"/>
      <c r="B58" s="872" t="s">
        <v>71</v>
      </c>
      <c r="C58" s="828" t="s">
        <v>21</v>
      </c>
      <c r="D58" s="1317">
        <f t="shared" si="0"/>
        <v>70.95</v>
      </c>
      <c r="E58" s="1317">
        <f t="shared" si="1"/>
        <v>0</v>
      </c>
      <c r="F58" s="699"/>
      <c r="G58" s="700"/>
      <c r="H58" s="1317">
        <f>I58+J58</f>
        <v>70.95</v>
      </c>
      <c r="I58" s="699">
        <f>0.503+10.83</f>
        <v>11.333</v>
      </c>
      <c r="J58" s="699">
        <f>10.908+48.709</f>
        <v>59.617000000000004</v>
      </c>
      <c r="K58" s="1317"/>
      <c r="L58" s="699"/>
      <c r="M58" s="699"/>
      <c r="N58" s="714">
        <f t="shared" si="10"/>
        <v>0</v>
      </c>
      <c r="O58" s="730"/>
      <c r="P58" s="698">
        <f t="shared" si="5"/>
        <v>0</v>
      </c>
      <c r="Q58" s="726"/>
      <c r="R58" s="698">
        <f t="shared" si="6"/>
        <v>0</v>
      </c>
      <c r="S58" s="726"/>
      <c r="T58" s="726"/>
      <c r="U58" s="698">
        <f t="shared" si="7"/>
        <v>0</v>
      </c>
      <c r="V58" s="726"/>
      <c r="W58" s="698">
        <f t="shared" si="12"/>
        <v>0</v>
      </c>
      <c r="X58" s="726"/>
    </row>
    <row r="59" spans="1:24" ht="23.25" thickBot="1">
      <c r="A59" s="751">
        <v>15</v>
      </c>
      <c r="B59" s="870" t="s">
        <v>72</v>
      </c>
      <c r="C59" s="808" t="s">
        <v>47</v>
      </c>
      <c r="D59" s="1317">
        <f t="shared" si="0"/>
        <v>0</v>
      </c>
      <c r="E59" s="1317">
        <f t="shared" si="1"/>
        <v>0</v>
      </c>
      <c r="F59" s="699"/>
      <c r="G59" s="700"/>
      <c r="H59" s="1317"/>
      <c r="I59" s="699"/>
      <c r="J59" s="699"/>
      <c r="K59" s="1317"/>
      <c r="L59" s="699"/>
      <c r="M59" s="699"/>
      <c r="N59" s="714">
        <f t="shared" si="10"/>
        <v>0</v>
      </c>
      <c r="O59" s="721"/>
      <c r="P59" s="698">
        <f t="shared" si="5"/>
        <v>0</v>
      </c>
      <c r="Q59" s="722"/>
      <c r="R59" s="698">
        <f t="shared" si="6"/>
        <v>0</v>
      </c>
      <c r="S59" s="722"/>
      <c r="T59" s="722"/>
      <c r="U59" s="698">
        <f t="shared" si="7"/>
        <v>0</v>
      </c>
      <c r="V59" s="722"/>
      <c r="W59" s="698">
        <f t="shared" si="12"/>
        <v>0</v>
      </c>
      <c r="X59" s="722"/>
    </row>
    <row r="60" spans="1:24" ht="15.75" thickBot="1">
      <c r="A60" s="753"/>
      <c r="B60" s="754" t="s">
        <v>73</v>
      </c>
      <c r="C60" s="828" t="s">
        <v>21</v>
      </c>
      <c r="D60" s="1317">
        <f t="shared" si="0"/>
        <v>0</v>
      </c>
      <c r="E60" s="1317">
        <f t="shared" si="1"/>
        <v>0</v>
      </c>
      <c r="F60" s="727"/>
      <c r="G60" s="728"/>
      <c r="H60" s="1317"/>
      <c r="I60" s="699"/>
      <c r="J60" s="699"/>
      <c r="K60" s="1317"/>
      <c r="L60" s="699"/>
      <c r="M60" s="699"/>
      <c r="N60" s="729">
        <f t="shared" si="10"/>
        <v>0</v>
      </c>
      <c r="O60" s="730"/>
      <c r="P60" s="726">
        <f t="shared" si="5"/>
        <v>0</v>
      </c>
      <c r="Q60" s="726"/>
      <c r="R60" s="726">
        <f t="shared" si="6"/>
        <v>0</v>
      </c>
      <c r="S60" s="726"/>
      <c r="T60" s="726"/>
      <c r="U60" s="726">
        <f t="shared" si="7"/>
        <v>0</v>
      </c>
      <c r="V60" s="726"/>
      <c r="W60" s="726">
        <f t="shared" si="12"/>
        <v>0</v>
      </c>
      <c r="X60" s="726"/>
    </row>
    <row r="61" spans="1:24" ht="15.75" thickBot="1">
      <c r="A61" s="755">
        <v>16</v>
      </c>
      <c r="B61" s="756" t="s">
        <v>74</v>
      </c>
      <c r="C61" s="808" t="s">
        <v>47</v>
      </c>
      <c r="D61" s="1317">
        <f t="shared" si="0"/>
        <v>0</v>
      </c>
      <c r="E61" s="1317">
        <f t="shared" si="1"/>
        <v>0</v>
      </c>
      <c r="F61" s="758"/>
      <c r="G61" s="759"/>
      <c r="H61" s="1317"/>
      <c r="I61" s="699"/>
      <c r="J61" s="699"/>
      <c r="K61" s="1317"/>
      <c r="L61" s="699"/>
      <c r="M61" s="699"/>
      <c r="N61" s="760">
        <f t="shared" si="10"/>
        <v>0</v>
      </c>
      <c r="O61" s="761"/>
      <c r="P61" s="737">
        <f t="shared" si="5"/>
        <v>0</v>
      </c>
      <c r="Q61" s="757"/>
      <c r="R61" s="737">
        <f t="shared" si="6"/>
        <v>0</v>
      </c>
      <c r="S61" s="757"/>
      <c r="T61" s="757"/>
      <c r="U61" s="737">
        <f t="shared" si="7"/>
        <v>0</v>
      </c>
      <c r="V61" s="757"/>
      <c r="W61" s="737">
        <f t="shared" si="12"/>
        <v>0</v>
      </c>
      <c r="X61" s="762"/>
    </row>
    <row r="62" spans="1:24" ht="15.75" thickBot="1">
      <c r="A62" s="763"/>
      <c r="B62" s="764"/>
      <c r="C62" s="790" t="s">
        <v>21</v>
      </c>
      <c r="D62" s="1317">
        <f t="shared" si="0"/>
        <v>0</v>
      </c>
      <c r="E62" s="1317">
        <f t="shared" si="1"/>
        <v>0</v>
      </c>
      <c r="F62" s="766"/>
      <c r="G62" s="767"/>
      <c r="H62" s="1317"/>
      <c r="I62" s="699"/>
      <c r="J62" s="699"/>
      <c r="K62" s="1317"/>
      <c r="L62" s="699"/>
      <c r="M62" s="699"/>
      <c r="N62" s="742">
        <f t="shared" si="10"/>
        <v>0</v>
      </c>
      <c r="O62" s="768"/>
      <c r="P62" s="720">
        <f t="shared" si="5"/>
        <v>0</v>
      </c>
      <c r="Q62" s="765"/>
      <c r="R62" s="720">
        <f t="shared" si="6"/>
        <v>0</v>
      </c>
      <c r="S62" s="765"/>
      <c r="T62" s="765"/>
      <c r="U62" s="720">
        <f t="shared" si="7"/>
        <v>0</v>
      </c>
      <c r="V62" s="765"/>
      <c r="W62" s="720">
        <f t="shared" si="12"/>
        <v>0</v>
      </c>
      <c r="X62" s="769"/>
    </row>
    <row r="63" spans="1:24" ht="33.75" customHeight="1" thickBot="1">
      <c r="A63" s="755">
        <v>17</v>
      </c>
      <c r="B63" s="770" t="s">
        <v>75</v>
      </c>
      <c r="C63" s="808" t="s">
        <v>24</v>
      </c>
      <c r="D63" s="1317">
        <f t="shared" si="0"/>
        <v>0</v>
      </c>
      <c r="E63" s="1317">
        <f t="shared" si="1"/>
        <v>0</v>
      </c>
      <c r="F63" s="758"/>
      <c r="G63" s="759"/>
      <c r="H63" s="1317"/>
      <c r="I63" s="699"/>
      <c r="J63" s="699"/>
      <c r="K63" s="1317"/>
      <c r="L63" s="699"/>
      <c r="M63" s="699"/>
      <c r="N63" s="760">
        <f t="shared" si="10"/>
        <v>0</v>
      </c>
      <c r="O63" s="761"/>
      <c r="P63" s="737">
        <f t="shared" si="5"/>
        <v>0</v>
      </c>
      <c r="Q63" s="757"/>
      <c r="R63" s="737">
        <f t="shared" si="6"/>
        <v>0</v>
      </c>
      <c r="S63" s="757"/>
      <c r="T63" s="757"/>
      <c r="U63" s="737">
        <f t="shared" si="7"/>
        <v>0</v>
      </c>
      <c r="V63" s="757"/>
      <c r="W63" s="737">
        <f t="shared" si="12"/>
        <v>0</v>
      </c>
      <c r="X63" s="762"/>
    </row>
    <row r="64" spans="1:24" ht="15.75" thickBot="1">
      <c r="A64" s="763"/>
      <c r="B64" s="771"/>
      <c r="C64" s="790" t="s">
        <v>21</v>
      </c>
      <c r="D64" s="1317">
        <f t="shared" si="0"/>
        <v>0</v>
      </c>
      <c r="E64" s="1317">
        <f t="shared" si="1"/>
        <v>0</v>
      </c>
      <c r="F64" s="766"/>
      <c r="G64" s="767"/>
      <c r="H64" s="1317"/>
      <c r="I64" s="699"/>
      <c r="J64" s="699"/>
      <c r="K64" s="1317"/>
      <c r="L64" s="699"/>
      <c r="M64" s="699"/>
      <c r="N64" s="742">
        <f t="shared" si="10"/>
        <v>0</v>
      </c>
      <c r="O64" s="768"/>
      <c r="P64" s="720">
        <f t="shared" si="5"/>
        <v>0</v>
      </c>
      <c r="Q64" s="765"/>
      <c r="R64" s="720">
        <f t="shared" si="6"/>
        <v>0</v>
      </c>
      <c r="S64" s="765"/>
      <c r="T64" s="765"/>
      <c r="U64" s="720">
        <f t="shared" si="7"/>
        <v>0</v>
      </c>
      <c r="V64" s="765"/>
      <c r="W64" s="720">
        <f t="shared" si="12"/>
        <v>0</v>
      </c>
      <c r="X64" s="769"/>
    </row>
    <row r="65" spans="1:24" ht="15.75" thickBot="1">
      <c r="A65" s="755">
        <v>18</v>
      </c>
      <c r="B65" s="756" t="s">
        <v>76</v>
      </c>
      <c r="C65" s="808" t="s">
        <v>47</v>
      </c>
      <c r="D65" s="1317">
        <f t="shared" si="0"/>
        <v>0</v>
      </c>
      <c r="E65" s="1317">
        <f t="shared" si="1"/>
        <v>0</v>
      </c>
      <c r="F65" s="758"/>
      <c r="G65" s="759"/>
      <c r="H65" s="1317"/>
      <c r="I65" s="699"/>
      <c r="J65" s="699"/>
      <c r="K65" s="1317"/>
      <c r="L65" s="699"/>
      <c r="M65" s="699"/>
      <c r="N65" s="760">
        <f t="shared" si="10"/>
        <v>0</v>
      </c>
      <c r="O65" s="761"/>
      <c r="P65" s="737">
        <f t="shared" si="5"/>
        <v>0</v>
      </c>
      <c r="Q65" s="757"/>
      <c r="R65" s="737">
        <f t="shared" si="6"/>
        <v>0</v>
      </c>
      <c r="S65" s="757"/>
      <c r="T65" s="757"/>
      <c r="U65" s="737">
        <f t="shared" si="7"/>
        <v>0</v>
      </c>
      <c r="V65" s="757"/>
      <c r="W65" s="737">
        <f t="shared" si="12"/>
        <v>0</v>
      </c>
      <c r="X65" s="762"/>
    </row>
    <row r="66" spans="1:24" ht="15.75" thickBot="1">
      <c r="A66" s="763"/>
      <c r="B66" s="764"/>
      <c r="C66" s="790" t="s">
        <v>21</v>
      </c>
      <c r="D66" s="1317">
        <f t="shared" si="0"/>
        <v>0</v>
      </c>
      <c r="E66" s="1317">
        <f t="shared" si="1"/>
        <v>0</v>
      </c>
      <c r="F66" s="766"/>
      <c r="G66" s="767"/>
      <c r="H66" s="1317"/>
      <c r="I66" s="699"/>
      <c r="J66" s="699"/>
      <c r="K66" s="1317"/>
      <c r="L66" s="699"/>
      <c r="M66" s="699"/>
      <c r="N66" s="742">
        <f t="shared" si="10"/>
        <v>0</v>
      </c>
      <c r="O66" s="768"/>
      <c r="P66" s="720">
        <f t="shared" si="5"/>
        <v>0</v>
      </c>
      <c r="Q66" s="765"/>
      <c r="R66" s="720">
        <f t="shared" si="6"/>
        <v>0</v>
      </c>
      <c r="S66" s="765"/>
      <c r="T66" s="765"/>
      <c r="U66" s="720">
        <f t="shared" si="7"/>
        <v>0</v>
      </c>
      <c r="V66" s="765"/>
      <c r="W66" s="720">
        <f t="shared" si="12"/>
        <v>0</v>
      </c>
      <c r="X66" s="769"/>
    </row>
    <row r="67" spans="1:24" ht="15.75" thickBot="1">
      <c r="A67" s="755">
        <v>19</v>
      </c>
      <c r="B67" s="756" t="s">
        <v>77</v>
      </c>
      <c r="C67" s="808" t="s">
        <v>47</v>
      </c>
      <c r="D67" s="1317">
        <f t="shared" si="0"/>
        <v>0</v>
      </c>
      <c r="E67" s="1317">
        <f t="shared" si="1"/>
        <v>0</v>
      </c>
      <c r="F67" s="758"/>
      <c r="G67" s="759"/>
      <c r="H67" s="1317"/>
      <c r="I67" s="699"/>
      <c r="J67" s="699"/>
      <c r="K67" s="1317"/>
      <c r="L67" s="699"/>
      <c r="M67" s="699"/>
      <c r="N67" s="760">
        <f t="shared" si="10"/>
        <v>0</v>
      </c>
      <c r="O67" s="761"/>
      <c r="P67" s="737">
        <f t="shared" si="5"/>
        <v>0</v>
      </c>
      <c r="Q67" s="757"/>
      <c r="R67" s="737">
        <f t="shared" si="6"/>
        <v>0</v>
      </c>
      <c r="S67" s="757"/>
      <c r="T67" s="757"/>
      <c r="U67" s="737">
        <f t="shared" si="7"/>
        <v>0</v>
      </c>
      <c r="V67" s="757"/>
      <c r="W67" s="737">
        <f t="shared" si="12"/>
        <v>0</v>
      </c>
      <c r="X67" s="762"/>
    </row>
    <row r="68" spans="1:24" ht="15.75" thickBot="1">
      <c r="A68" s="763"/>
      <c r="B68" s="764"/>
      <c r="C68" s="790" t="s">
        <v>21</v>
      </c>
      <c r="D68" s="1317">
        <f t="shared" si="0"/>
        <v>0</v>
      </c>
      <c r="E68" s="1317">
        <f t="shared" si="1"/>
        <v>0</v>
      </c>
      <c r="F68" s="766"/>
      <c r="G68" s="767"/>
      <c r="H68" s="1317"/>
      <c r="I68" s="699"/>
      <c r="J68" s="699"/>
      <c r="K68" s="1317"/>
      <c r="L68" s="699"/>
      <c r="M68" s="699"/>
      <c r="N68" s="742">
        <f t="shared" si="10"/>
        <v>0</v>
      </c>
      <c r="O68" s="768"/>
      <c r="P68" s="720">
        <f t="shared" si="5"/>
        <v>0</v>
      </c>
      <c r="Q68" s="765"/>
      <c r="R68" s="720">
        <f t="shared" si="6"/>
        <v>0</v>
      </c>
      <c r="S68" s="765"/>
      <c r="T68" s="765"/>
      <c r="U68" s="720">
        <f t="shared" si="7"/>
        <v>0</v>
      </c>
      <c r="V68" s="765"/>
      <c r="W68" s="720">
        <f t="shared" si="12"/>
        <v>0</v>
      </c>
      <c r="X68" s="769"/>
    </row>
    <row r="69" spans="1:24" ht="21.75" thickBot="1">
      <c r="A69" s="755">
        <v>20</v>
      </c>
      <c r="B69" s="770" t="s">
        <v>78</v>
      </c>
      <c r="C69" s="808" t="s">
        <v>79</v>
      </c>
      <c r="D69" s="1317">
        <f t="shared" si="0"/>
        <v>0</v>
      </c>
      <c r="E69" s="1317">
        <f t="shared" si="1"/>
        <v>0</v>
      </c>
      <c r="F69" s="758"/>
      <c r="G69" s="759"/>
      <c r="H69" s="1317"/>
      <c r="I69" s="699"/>
      <c r="J69" s="699"/>
      <c r="K69" s="1317"/>
      <c r="L69" s="699"/>
      <c r="M69" s="699"/>
      <c r="N69" s="760">
        <f t="shared" si="10"/>
        <v>0</v>
      </c>
      <c r="O69" s="761"/>
      <c r="P69" s="737">
        <f t="shared" si="5"/>
        <v>0</v>
      </c>
      <c r="Q69" s="757"/>
      <c r="R69" s="737">
        <f t="shared" si="6"/>
        <v>0</v>
      </c>
      <c r="S69" s="757"/>
      <c r="T69" s="757"/>
      <c r="U69" s="737">
        <f t="shared" si="7"/>
        <v>0</v>
      </c>
      <c r="V69" s="757"/>
      <c r="W69" s="737">
        <f t="shared" si="12"/>
        <v>0</v>
      </c>
      <c r="X69" s="762"/>
    </row>
    <row r="70" spans="1:24" ht="15.75" thickBot="1">
      <c r="A70" s="763"/>
      <c r="B70" s="764"/>
      <c r="C70" s="790" t="s">
        <v>21</v>
      </c>
      <c r="D70" s="1317">
        <f t="shared" si="0"/>
        <v>0</v>
      </c>
      <c r="E70" s="1317">
        <f t="shared" si="1"/>
        <v>0</v>
      </c>
      <c r="F70" s="766"/>
      <c r="G70" s="767"/>
      <c r="H70" s="1317"/>
      <c r="I70" s="699"/>
      <c r="J70" s="699"/>
      <c r="K70" s="1317"/>
      <c r="L70" s="699"/>
      <c r="M70" s="699"/>
      <c r="N70" s="742">
        <f t="shared" si="10"/>
        <v>0</v>
      </c>
      <c r="O70" s="768"/>
      <c r="P70" s="720">
        <f t="shared" si="5"/>
        <v>0</v>
      </c>
      <c r="Q70" s="765"/>
      <c r="R70" s="720">
        <f t="shared" si="6"/>
        <v>0</v>
      </c>
      <c r="S70" s="765"/>
      <c r="T70" s="765"/>
      <c r="U70" s="720">
        <f t="shared" si="7"/>
        <v>0</v>
      </c>
      <c r="V70" s="765"/>
      <c r="W70" s="720">
        <f t="shared" si="12"/>
        <v>0</v>
      </c>
      <c r="X70" s="769"/>
    </row>
    <row r="71" spans="1:24" ht="21.75" thickBot="1">
      <c r="A71" s="755">
        <v>21</v>
      </c>
      <c r="B71" s="770" t="s">
        <v>80</v>
      </c>
      <c r="C71" s="808" t="s">
        <v>24</v>
      </c>
      <c r="D71" s="1317">
        <f t="shared" si="0"/>
        <v>0</v>
      </c>
      <c r="E71" s="1317">
        <f t="shared" si="1"/>
        <v>0</v>
      </c>
      <c r="F71" s="758"/>
      <c r="G71" s="759"/>
      <c r="H71" s="1317"/>
      <c r="I71" s="699"/>
      <c r="J71" s="699"/>
      <c r="K71" s="1317"/>
      <c r="L71" s="699"/>
      <c r="M71" s="699"/>
      <c r="N71" s="760">
        <f t="shared" si="10"/>
        <v>0</v>
      </c>
      <c r="O71" s="761"/>
      <c r="P71" s="737">
        <f t="shared" si="5"/>
        <v>0</v>
      </c>
      <c r="Q71" s="757"/>
      <c r="R71" s="737">
        <f t="shared" si="6"/>
        <v>0</v>
      </c>
      <c r="S71" s="757"/>
      <c r="T71" s="757"/>
      <c r="U71" s="737">
        <f t="shared" si="7"/>
        <v>0</v>
      </c>
      <c r="V71" s="757"/>
      <c r="W71" s="737">
        <f t="shared" si="12"/>
        <v>0</v>
      </c>
      <c r="X71" s="762"/>
    </row>
    <row r="72" spans="1:24" ht="15.75" thickBot="1">
      <c r="A72" s="763"/>
      <c r="B72" s="764"/>
      <c r="C72" s="790" t="s">
        <v>21</v>
      </c>
      <c r="D72" s="1317">
        <f t="shared" si="0"/>
        <v>0</v>
      </c>
      <c r="E72" s="1317">
        <f t="shared" si="1"/>
        <v>0</v>
      </c>
      <c r="F72" s="766"/>
      <c r="G72" s="767"/>
      <c r="H72" s="1317"/>
      <c r="I72" s="699"/>
      <c r="J72" s="699"/>
      <c r="K72" s="1317"/>
      <c r="L72" s="699"/>
      <c r="M72" s="699"/>
      <c r="N72" s="742">
        <f t="shared" si="10"/>
        <v>0</v>
      </c>
      <c r="O72" s="768"/>
      <c r="P72" s="720">
        <f t="shared" si="5"/>
        <v>0</v>
      </c>
      <c r="Q72" s="765"/>
      <c r="R72" s="720">
        <f t="shared" si="6"/>
        <v>0</v>
      </c>
      <c r="S72" s="765"/>
      <c r="T72" s="765"/>
      <c r="U72" s="720">
        <f t="shared" si="7"/>
        <v>0</v>
      </c>
      <c r="V72" s="765"/>
      <c r="W72" s="720">
        <f t="shared" si="12"/>
        <v>0</v>
      </c>
      <c r="X72" s="769"/>
    </row>
    <row r="73" spans="1:24" ht="16.5" thickTop="1" thickBot="1">
      <c r="A73" s="1335" t="s">
        <v>81</v>
      </c>
      <c r="B73" s="1336" t="s">
        <v>82</v>
      </c>
      <c r="C73" s="1337" t="s">
        <v>21</v>
      </c>
      <c r="D73" s="1317">
        <f>D75+D85+D87</f>
        <v>1788.6120000000001</v>
      </c>
      <c r="E73" s="1317">
        <f t="shared" si="1"/>
        <v>0</v>
      </c>
      <c r="F73" s="1338">
        <f t="shared" ref="F73:X73" si="14">F75+F85+F87</f>
        <v>0</v>
      </c>
      <c r="G73" s="1339">
        <f t="shared" si="14"/>
        <v>0</v>
      </c>
      <c r="H73" s="1340">
        <f>H75+H85+H87</f>
        <v>1643.7070000000001</v>
      </c>
      <c r="I73" s="1340">
        <f>I75+I85+I87</f>
        <v>1643.7070000000001</v>
      </c>
      <c r="J73" s="1340">
        <f>J75+J85+J87</f>
        <v>0</v>
      </c>
      <c r="K73" s="724">
        <f t="shared" ref="K73:K94" si="15">L73</f>
        <v>11.266999999999999</v>
      </c>
      <c r="L73" s="724">
        <f>L87</f>
        <v>11.266999999999999</v>
      </c>
      <c r="M73" s="724"/>
      <c r="N73" s="1338">
        <f t="shared" si="14"/>
        <v>0</v>
      </c>
      <c r="O73" s="1338">
        <f t="shared" si="14"/>
        <v>0</v>
      </c>
      <c r="P73" s="1338">
        <f t="shared" si="14"/>
        <v>0</v>
      </c>
      <c r="Q73" s="1338">
        <f t="shared" si="14"/>
        <v>0</v>
      </c>
      <c r="R73" s="1338">
        <f t="shared" si="14"/>
        <v>0</v>
      </c>
      <c r="S73" s="1338">
        <f t="shared" si="14"/>
        <v>0</v>
      </c>
      <c r="T73" s="1338">
        <f t="shared" si="14"/>
        <v>0</v>
      </c>
      <c r="U73" s="1338">
        <f t="shared" si="14"/>
        <v>0</v>
      </c>
      <c r="V73" s="1338">
        <f t="shared" si="14"/>
        <v>0</v>
      </c>
      <c r="W73" s="1338">
        <f t="shared" si="14"/>
        <v>0</v>
      </c>
      <c r="X73" s="1338">
        <f t="shared" si="14"/>
        <v>0</v>
      </c>
    </row>
    <row r="74" spans="1:24" ht="16.5" thickTop="1" thickBot="1">
      <c r="A74" s="707">
        <v>18</v>
      </c>
      <c r="B74" s="779" t="s">
        <v>83</v>
      </c>
      <c r="C74" s="835" t="s">
        <v>51</v>
      </c>
      <c r="D74" s="1317">
        <f>H74+K74</f>
        <v>2.4756700000000005</v>
      </c>
      <c r="E74" s="1317">
        <f t="shared" si="1"/>
        <v>0</v>
      </c>
      <c r="F74" s="694">
        <f t="shared" ref="F74:G75" si="16">F76+F78+F80+F82</f>
        <v>0</v>
      </c>
      <c r="G74" s="694">
        <f t="shared" si="16"/>
        <v>0</v>
      </c>
      <c r="H74" s="1324">
        <f t="shared" ref="H74:H87" si="17">I74</f>
        <v>2.4756700000000005</v>
      </c>
      <c r="I74" s="781">
        <f>I76+I78+I80+I82</f>
        <v>2.4756700000000005</v>
      </c>
      <c r="J74" s="781"/>
      <c r="K74" s="1329">
        <f t="shared" si="15"/>
        <v>0</v>
      </c>
      <c r="L74" s="781"/>
      <c r="M74" s="781"/>
      <c r="N74" s="782">
        <f t="shared" ref="N74:X75" si="18">N76+N78+N80+N82</f>
        <v>0</v>
      </c>
      <c r="O74" s="694">
        <f t="shared" si="18"/>
        <v>0</v>
      </c>
      <c r="P74" s="694">
        <f t="shared" si="18"/>
        <v>0</v>
      </c>
      <c r="Q74" s="694">
        <f t="shared" si="18"/>
        <v>0</v>
      </c>
      <c r="R74" s="694">
        <f t="shared" si="18"/>
        <v>0</v>
      </c>
      <c r="S74" s="694">
        <f t="shared" si="18"/>
        <v>0</v>
      </c>
      <c r="T74" s="694">
        <f t="shared" si="18"/>
        <v>0</v>
      </c>
      <c r="U74" s="694">
        <f t="shared" si="18"/>
        <v>0</v>
      </c>
      <c r="V74" s="694">
        <f t="shared" si="18"/>
        <v>0</v>
      </c>
      <c r="W74" s="694">
        <f t="shared" si="18"/>
        <v>0</v>
      </c>
      <c r="X74" s="694">
        <f t="shared" si="18"/>
        <v>0</v>
      </c>
    </row>
    <row r="75" spans="1:24" ht="15.75" thickBot="1">
      <c r="A75" s="783"/>
      <c r="B75" s="779" t="s">
        <v>84</v>
      </c>
      <c r="C75" s="1341" t="s">
        <v>21</v>
      </c>
      <c r="D75" s="1317">
        <f>D77+D79+D81+D83</f>
        <v>1390.8000000000002</v>
      </c>
      <c r="E75" s="1317">
        <f t="shared" si="1"/>
        <v>0</v>
      </c>
      <c r="F75" s="694">
        <f t="shared" si="16"/>
        <v>0</v>
      </c>
      <c r="G75" s="694">
        <f t="shared" si="16"/>
        <v>0</v>
      </c>
      <c r="H75" s="1324">
        <f t="shared" si="17"/>
        <v>1302.018</v>
      </c>
      <c r="I75" s="781">
        <f>I77+I79+I81+I83</f>
        <v>1302.018</v>
      </c>
      <c r="J75" s="781"/>
      <c r="K75" s="1329">
        <f t="shared" si="15"/>
        <v>0</v>
      </c>
      <c r="L75" s="781"/>
      <c r="M75" s="781"/>
      <c r="N75" s="782">
        <f t="shared" si="18"/>
        <v>0</v>
      </c>
      <c r="O75" s="694">
        <f t="shared" si="18"/>
        <v>0</v>
      </c>
      <c r="P75" s="694">
        <f t="shared" si="18"/>
        <v>0</v>
      </c>
      <c r="Q75" s="694">
        <f t="shared" si="18"/>
        <v>0</v>
      </c>
      <c r="R75" s="694">
        <f t="shared" si="18"/>
        <v>0</v>
      </c>
      <c r="S75" s="694">
        <f t="shared" si="18"/>
        <v>0</v>
      </c>
      <c r="T75" s="694">
        <f t="shared" si="18"/>
        <v>0</v>
      </c>
      <c r="U75" s="694">
        <f t="shared" si="18"/>
        <v>0</v>
      </c>
      <c r="V75" s="694">
        <f t="shared" si="18"/>
        <v>0</v>
      </c>
      <c r="W75" s="694">
        <f t="shared" si="18"/>
        <v>0</v>
      </c>
      <c r="X75" s="694">
        <f t="shared" si="18"/>
        <v>0</v>
      </c>
    </row>
    <row r="76" spans="1:24" ht="15.75" thickBot="1">
      <c r="A76" s="785" t="s">
        <v>85</v>
      </c>
      <c r="B76" s="786" t="s">
        <v>86</v>
      </c>
      <c r="C76" s="1341" t="s">
        <v>87</v>
      </c>
      <c r="D76" s="1317">
        <f t="shared" ref="D76:D87" si="19">I76+L76</f>
        <v>0.13900000000000001</v>
      </c>
      <c r="E76" s="1317">
        <f t="shared" si="1"/>
        <v>0</v>
      </c>
      <c r="F76" s="699"/>
      <c r="G76" s="699"/>
      <c r="H76" s="1324">
        <f t="shared" si="17"/>
        <v>0.123</v>
      </c>
      <c r="I76" s="688">
        <f>0.012+0.012+0.02+0.079</f>
        <v>0.123</v>
      </c>
      <c r="J76" s="688"/>
      <c r="K76" s="1329">
        <f t="shared" si="15"/>
        <v>1.6E-2</v>
      </c>
      <c r="L76" s="688">
        <f>0.016</f>
        <v>1.6E-2</v>
      </c>
      <c r="M76" s="688"/>
      <c r="N76" s="714">
        <f t="shared" ref="N76:N87" si="20">O76</f>
        <v>0</v>
      </c>
      <c r="O76" s="787"/>
      <c r="P76" s="698">
        <f t="shared" ref="P76:P87" si="21">Q76</f>
        <v>0</v>
      </c>
      <c r="Q76" s="698"/>
      <c r="R76" s="698">
        <f t="shared" ref="R76:R87" si="22">S76+T76</f>
        <v>0</v>
      </c>
      <c r="S76" s="698"/>
      <c r="T76" s="698"/>
      <c r="U76" s="698">
        <f t="shared" ref="U76:U87" si="23">V76</f>
        <v>0</v>
      </c>
      <c r="V76" s="698"/>
      <c r="W76" s="698">
        <f t="shared" ref="W76:W87" si="24">X76</f>
        <v>0</v>
      </c>
      <c r="X76" s="698"/>
    </row>
    <row r="77" spans="1:24" ht="15.75" thickBot="1">
      <c r="A77" s="788"/>
      <c r="B77" s="786"/>
      <c r="C77" s="1341" t="s">
        <v>21</v>
      </c>
      <c r="D77" s="1317">
        <f t="shared" si="19"/>
        <v>142.11500000000001</v>
      </c>
      <c r="E77" s="1317">
        <f t="shared" si="1"/>
        <v>0</v>
      </c>
      <c r="F77" s="699"/>
      <c r="G77" s="699"/>
      <c r="H77" s="1324">
        <f t="shared" si="17"/>
        <v>125.084</v>
      </c>
      <c r="I77" s="688">
        <f>18.764+16.463+2.501+87.356</f>
        <v>125.084</v>
      </c>
      <c r="J77" s="688"/>
      <c r="K77" s="1329">
        <f t="shared" si="15"/>
        <v>17.030999999999999</v>
      </c>
      <c r="L77" s="688">
        <f>17.031</f>
        <v>17.030999999999999</v>
      </c>
      <c r="M77" s="688"/>
      <c r="N77" s="714">
        <f t="shared" si="20"/>
        <v>0</v>
      </c>
      <c r="O77" s="787"/>
      <c r="P77" s="698">
        <f t="shared" si="21"/>
        <v>0</v>
      </c>
      <c r="Q77" s="698"/>
      <c r="R77" s="698">
        <f t="shared" si="22"/>
        <v>0</v>
      </c>
      <c r="S77" s="698"/>
      <c r="T77" s="698"/>
      <c r="U77" s="698">
        <f t="shared" si="23"/>
        <v>0</v>
      </c>
      <c r="V77" s="698"/>
      <c r="W77" s="698">
        <f t="shared" si="24"/>
        <v>0</v>
      </c>
      <c r="X77" s="698"/>
    </row>
    <row r="78" spans="1:24" ht="15.75" thickBot="1">
      <c r="A78" s="785" t="s">
        <v>88</v>
      </c>
      <c r="B78" s="786" t="s">
        <v>89</v>
      </c>
      <c r="C78" s="1341" t="s">
        <v>51</v>
      </c>
      <c r="D78" s="1317">
        <f t="shared" si="19"/>
        <v>1.798</v>
      </c>
      <c r="E78" s="1317">
        <f t="shared" si="1"/>
        <v>0</v>
      </c>
      <c r="F78" s="699"/>
      <c r="G78" s="699"/>
      <c r="H78" s="1324">
        <f t="shared" si="17"/>
        <v>1.77</v>
      </c>
      <c r="I78" s="688">
        <f>0.009+0.015+0.001+0.002+1.5+0.13+0.113</f>
        <v>1.77</v>
      </c>
      <c r="J78" s="688"/>
      <c r="K78" s="1329">
        <f t="shared" si="15"/>
        <v>2.8000000000000001E-2</v>
      </c>
      <c r="L78" s="688">
        <f>0.005+0.023</f>
        <v>2.8000000000000001E-2</v>
      </c>
      <c r="M78" s="688"/>
      <c r="N78" s="714">
        <f t="shared" si="20"/>
        <v>0</v>
      </c>
      <c r="O78" s="787"/>
      <c r="P78" s="698">
        <f t="shared" si="21"/>
        <v>0</v>
      </c>
      <c r="Q78" s="698"/>
      <c r="R78" s="698">
        <f t="shared" si="22"/>
        <v>0</v>
      </c>
      <c r="S78" s="698"/>
      <c r="T78" s="698"/>
      <c r="U78" s="698">
        <f t="shared" si="23"/>
        <v>0</v>
      </c>
      <c r="V78" s="698"/>
      <c r="W78" s="698">
        <f t="shared" si="24"/>
        <v>0</v>
      </c>
      <c r="X78" s="698"/>
    </row>
    <row r="79" spans="1:24" ht="15.75" thickBot="1">
      <c r="A79" s="788"/>
      <c r="B79" s="786"/>
      <c r="C79" s="1341" t="s">
        <v>21</v>
      </c>
      <c r="D79" s="1317">
        <f t="shared" si="19"/>
        <v>319.93799999999999</v>
      </c>
      <c r="E79" s="1317">
        <f t="shared" si="1"/>
        <v>0</v>
      </c>
      <c r="F79" s="699"/>
      <c r="G79" s="699"/>
      <c r="H79" s="1324">
        <f t="shared" si="17"/>
        <v>289.935</v>
      </c>
      <c r="I79" s="688">
        <f>8.904+16.007+0.978+1.318+0.874+138.241+123.613</f>
        <v>289.935</v>
      </c>
      <c r="J79" s="688"/>
      <c r="K79" s="1329">
        <f t="shared" si="15"/>
        <v>30.003</v>
      </c>
      <c r="L79" s="789">
        <f>4.6+25.403</f>
        <v>30.003</v>
      </c>
      <c r="M79" s="688"/>
      <c r="N79" s="714">
        <f t="shared" si="20"/>
        <v>0</v>
      </c>
      <c r="O79" s="787"/>
      <c r="P79" s="698">
        <f t="shared" si="21"/>
        <v>0</v>
      </c>
      <c r="Q79" s="698"/>
      <c r="R79" s="698">
        <f t="shared" si="22"/>
        <v>0</v>
      </c>
      <c r="S79" s="698"/>
      <c r="T79" s="698"/>
      <c r="U79" s="698">
        <f t="shared" si="23"/>
        <v>0</v>
      </c>
      <c r="V79" s="698"/>
      <c r="W79" s="698">
        <f t="shared" si="24"/>
        <v>0</v>
      </c>
      <c r="X79" s="698"/>
    </row>
    <row r="80" spans="1:24" ht="15.75" thickBot="1">
      <c r="A80" s="785" t="s">
        <v>90</v>
      </c>
      <c r="B80" s="786" t="s">
        <v>91</v>
      </c>
      <c r="C80" s="1341" t="s">
        <v>51</v>
      </c>
      <c r="D80" s="1317">
        <f t="shared" si="19"/>
        <v>0.46217000000000008</v>
      </c>
      <c r="E80" s="1317">
        <f t="shared" ref="E80:E99" si="25">F80+G80</f>
        <v>0</v>
      </c>
      <c r="F80" s="699"/>
      <c r="G80" s="699"/>
      <c r="H80" s="1324">
        <f t="shared" si="17"/>
        <v>0.43317000000000005</v>
      </c>
      <c r="I80" s="688">
        <f>0.006+0.012+0.01177+0.0025+0.004+0.004+0.001+0.007+0.0035+0.028+0.035+0.013+0.0005+0.001+0.0007+0.002+0.009+0.0004+0.003+0.006+0.0004+0.0004+0.0006+0.005+0.0004+0.152+0.124</f>
        <v>0.43317000000000005</v>
      </c>
      <c r="J80" s="688"/>
      <c r="K80" s="1329">
        <f t="shared" si="15"/>
        <v>2.8999999999999998E-2</v>
      </c>
      <c r="L80" s="688">
        <f>0.018+0.011</f>
        <v>2.8999999999999998E-2</v>
      </c>
      <c r="M80" s="688"/>
      <c r="N80" s="714">
        <f t="shared" si="20"/>
        <v>0</v>
      </c>
      <c r="O80" s="787"/>
      <c r="P80" s="698">
        <f t="shared" si="21"/>
        <v>0</v>
      </c>
      <c r="Q80" s="698"/>
      <c r="R80" s="698">
        <f t="shared" si="22"/>
        <v>0</v>
      </c>
      <c r="S80" s="698"/>
      <c r="T80" s="698"/>
      <c r="U80" s="698">
        <f t="shared" si="23"/>
        <v>0</v>
      </c>
      <c r="V80" s="698"/>
      <c r="W80" s="698">
        <f t="shared" si="24"/>
        <v>0</v>
      </c>
      <c r="X80" s="698"/>
    </row>
    <row r="81" spans="1:24" ht="15.75" thickBot="1">
      <c r="A81" s="788"/>
      <c r="B81" s="786"/>
      <c r="C81" s="1341" t="s">
        <v>21</v>
      </c>
      <c r="D81" s="1317">
        <f t="shared" si="19"/>
        <v>613.09800000000007</v>
      </c>
      <c r="E81" s="1317">
        <f t="shared" si="25"/>
        <v>0</v>
      </c>
      <c r="F81" s="699"/>
      <c r="G81" s="699"/>
      <c r="H81" s="1324">
        <f t="shared" si="17"/>
        <v>574.52300000000002</v>
      </c>
      <c r="I81" s="688">
        <f>20.343+29.406+28.457+3.673+6.787+7.897+1.74+8.413+4.196+33.95+48.598+14.464+1.002+1.525+1.746+3.082 +13.317+0.876+5.843+5.837+6.556+0.468+0.876+1.293+5.606+0.863+195.405+122.304</f>
        <v>574.52300000000002</v>
      </c>
      <c r="J81" s="688"/>
      <c r="K81" s="1329">
        <f t="shared" si="15"/>
        <v>38.575000000000003</v>
      </c>
      <c r="L81" s="688">
        <f>21.925+16.65</f>
        <v>38.575000000000003</v>
      </c>
      <c r="M81" s="688"/>
      <c r="N81" s="714">
        <f t="shared" si="20"/>
        <v>0</v>
      </c>
      <c r="O81" s="787"/>
      <c r="P81" s="698">
        <f t="shared" si="21"/>
        <v>0</v>
      </c>
      <c r="Q81" s="698"/>
      <c r="R81" s="698">
        <f t="shared" si="22"/>
        <v>0</v>
      </c>
      <c r="S81" s="698"/>
      <c r="T81" s="698"/>
      <c r="U81" s="698">
        <f t="shared" si="23"/>
        <v>0</v>
      </c>
      <c r="V81" s="698"/>
      <c r="W81" s="698">
        <f t="shared" si="24"/>
        <v>0</v>
      </c>
      <c r="X81" s="698"/>
    </row>
    <row r="82" spans="1:24" ht="15.75" thickBot="1">
      <c r="A82" s="785" t="s">
        <v>92</v>
      </c>
      <c r="B82" s="786" t="s">
        <v>93</v>
      </c>
      <c r="C82" s="1341" t="s">
        <v>51</v>
      </c>
      <c r="D82" s="1317">
        <f t="shared" si="19"/>
        <v>0.1515</v>
      </c>
      <c r="E82" s="1317">
        <f t="shared" si="25"/>
        <v>0</v>
      </c>
      <c r="F82" s="699"/>
      <c r="G82" s="699"/>
      <c r="H82" s="1324">
        <f t="shared" si="17"/>
        <v>0.14949999999999999</v>
      </c>
      <c r="I82" s="688">
        <f>0.0005+0.003+0.011+0.096+0.039</f>
        <v>0.14949999999999999</v>
      </c>
      <c r="J82" s="688"/>
      <c r="K82" s="1329">
        <f t="shared" si="15"/>
        <v>2E-3</v>
      </c>
      <c r="L82" s="688">
        <v>2E-3</v>
      </c>
      <c r="M82" s="688"/>
      <c r="N82" s="714">
        <f t="shared" si="20"/>
        <v>0</v>
      </c>
      <c r="O82" s="787"/>
      <c r="P82" s="698">
        <f t="shared" si="21"/>
        <v>0</v>
      </c>
      <c r="Q82" s="698"/>
      <c r="R82" s="698">
        <f t="shared" si="22"/>
        <v>0</v>
      </c>
      <c r="S82" s="698"/>
      <c r="T82" s="698"/>
      <c r="U82" s="698">
        <f t="shared" si="23"/>
        <v>0</v>
      </c>
      <c r="V82" s="698"/>
      <c r="W82" s="698">
        <f t="shared" si="24"/>
        <v>0</v>
      </c>
      <c r="X82" s="698"/>
    </row>
    <row r="83" spans="1:24" ht="15.75" thickBot="1">
      <c r="A83" s="717"/>
      <c r="B83" s="790"/>
      <c r="C83" s="839" t="s">
        <v>21</v>
      </c>
      <c r="D83" s="1317">
        <f t="shared" si="19"/>
        <v>315.649</v>
      </c>
      <c r="E83" s="1317">
        <f t="shared" si="25"/>
        <v>0</v>
      </c>
      <c r="F83" s="699"/>
      <c r="G83" s="699"/>
      <c r="H83" s="1324">
        <f t="shared" si="17"/>
        <v>312.476</v>
      </c>
      <c r="I83" s="688">
        <f>0.476+0.912+1.631+26.197+222.324+60.936</f>
        <v>312.476</v>
      </c>
      <c r="J83" s="688"/>
      <c r="K83" s="1329">
        <f t="shared" si="15"/>
        <v>3.173</v>
      </c>
      <c r="L83" s="688">
        <v>3.173</v>
      </c>
      <c r="M83" s="688"/>
      <c r="N83" s="714">
        <f t="shared" si="20"/>
        <v>0</v>
      </c>
      <c r="O83" s="719"/>
      <c r="P83" s="698">
        <f t="shared" si="21"/>
        <v>0</v>
      </c>
      <c r="Q83" s="726"/>
      <c r="R83" s="698">
        <f t="shared" si="22"/>
        <v>0</v>
      </c>
      <c r="S83" s="726"/>
      <c r="T83" s="726"/>
      <c r="U83" s="698">
        <f t="shared" si="23"/>
        <v>0</v>
      </c>
      <c r="V83" s="726"/>
      <c r="W83" s="698">
        <f t="shared" si="24"/>
        <v>0</v>
      </c>
      <c r="X83" s="726"/>
    </row>
    <row r="84" spans="1:24" ht="15.75" thickBot="1">
      <c r="A84" s="711">
        <v>19</v>
      </c>
      <c r="B84" s="792" t="s">
        <v>94</v>
      </c>
      <c r="C84" s="801" t="s">
        <v>47</v>
      </c>
      <c r="D84" s="1317">
        <f t="shared" si="19"/>
        <v>27</v>
      </c>
      <c r="E84" s="1317">
        <f t="shared" si="25"/>
        <v>0</v>
      </c>
      <c r="F84" s="699"/>
      <c r="G84" s="699"/>
      <c r="H84" s="1324">
        <f t="shared" si="17"/>
        <v>20</v>
      </c>
      <c r="I84" s="688">
        <f>2+1+1+1+1+5+9</f>
        <v>20</v>
      </c>
      <c r="J84" s="688"/>
      <c r="K84" s="1329">
        <f t="shared" si="15"/>
        <v>7</v>
      </c>
      <c r="L84" s="688">
        <f>7</f>
        <v>7</v>
      </c>
      <c r="M84" s="688"/>
      <c r="N84" s="714">
        <f t="shared" si="20"/>
        <v>0</v>
      </c>
      <c r="O84" s="736"/>
      <c r="P84" s="698">
        <f t="shared" si="21"/>
        <v>0</v>
      </c>
      <c r="Q84" s="722"/>
      <c r="R84" s="698">
        <f t="shared" si="22"/>
        <v>0</v>
      </c>
      <c r="S84" s="722"/>
      <c r="T84" s="722"/>
      <c r="U84" s="698">
        <f t="shared" si="23"/>
        <v>0</v>
      </c>
      <c r="V84" s="722"/>
      <c r="W84" s="698">
        <f t="shared" si="24"/>
        <v>0</v>
      </c>
      <c r="X84" s="722"/>
    </row>
    <row r="85" spans="1:24" ht="15.75" thickBot="1">
      <c r="A85" s="717"/>
      <c r="B85" s="790"/>
      <c r="C85" s="804" t="s">
        <v>21</v>
      </c>
      <c r="D85" s="1317">
        <f t="shared" si="19"/>
        <v>167.20999999999998</v>
      </c>
      <c r="E85" s="1317">
        <f t="shared" si="25"/>
        <v>0</v>
      </c>
      <c r="F85" s="699"/>
      <c r="G85" s="699"/>
      <c r="H85" s="1324">
        <f t="shared" si="17"/>
        <v>122.35399999999998</v>
      </c>
      <c r="I85" s="688">
        <f>13.033+5.694+5.324+7.632+7.632+25.767+57.272</f>
        <v>122.35399999999998</v>
      </c>
      <c r="J85" s="688"/>
      <c r="K85" s="1329">
        <f t="shared" si="15"/>
        <v>44.856000000000002</v>
      </c>
      <c r="L85" s="688">
        <f>44.856</f>
        <v>44.856000000000002</v>
      </c>
      <c r="M85" s="688"/>
      <c r="N85" s="714">
        <f t="shared" si="20"/>
        <v>0</v>
      </c>
      <c r="O85" s="719"/>
      <c r="P85" s="698">
        <f t="shared" si="21"/>
        <v>0</v>
      </c>
      <c r="Q85" s="720"/>
      <c r="R85" s="698">
        <f t="shared" si="22"/>
        <v>0</v>
      </c>
      <c r="S85" s="720"/>
      <c r="T85" s="720"/>
      <c r="U85" s="698">
        <f t="shared" si="23"/>
        <v>0</v>
      </c>
      <c r="V85" s="720"/>
      <c r="W85" s="698">
        <f t="shared" si="24"/>
        <v>0</v>
      </c>
      <c r="X85" s="720"/>
    </row>
    <row r="86" spans="1:24" ht="15.75" thickBot="1">
      <c r="A86" s="795" t="s">
        <v>95</v>
      </c>
      <c r="B86" s="792" t="s">
        <v>197</v>
      </c>
      <c r="C86" s="801" t="s">
        <v>47</v>
      </c>
      <c r="D86" s="1317">
        <f t="shared" si="19"/>
        <v>121</v>
      </c>
      <c r="E86" s="1317">
        <f t="shared" si="25"/>
        <v>0</v>
      </c>
      <c r="F86" s="699"/>
      <c r="G86" s="699"/>
      <c r="H86" s="1324">
        <f t="shared" si="17"/>
        <v>115</v>
      </c>
      <c r="I86" s="688">
        <f>1+4+9+8+6+1+8+1+2+42+33</f>
        <v>115</v>
      </c>
      <c r="J86" s="688"/>
      <c r="K86" s="1329">
        <f t="shared" si="15"/>
        <v>6</v>
      </c>
      <c r="L86" s="688">
        <f>1+5</f>
        <v>6</v>
      </c>
      <c r="M86" s="688"/>
      <c r="N86" s="714">
        <f t="shared" si="20"/>
        <v>0</v>
      </c>
      <c r="O86" s="736"/>
      <c r="P86" s="698">
        <f t="shared" si="21"/>
        <v>0</v>
      </c>
      <c r="Q86" s="722"/>
      <c r="R86" s="698">
        <f t="shared" si="22"/>
        <v>0</v>
      </c>
      <c r="S86" s="722"/>
      <c r="T86" s="722"/>
      <c r="U86" s="698">
        <f t="shared" si="23"/>
        <v>0</v>
      </c>
      <c r="V86" s="722"/>
      <c r="W86" s="698">
        <f t="shared" si="24"/>
        <v>0</v>
      </c>
      <c r="X86" s="722"/>
    </row>
    <row r="87" spans="1:24" ht="15.75" thickBot="1">
      <c r="A87" s="796"/>
      <c r="B87" s="797" t="s">
        <v>97</v>
      </c>
      <c r="C87" s="804" t="s">
        <v>21</v>
      </c>
      <c r="D87" s="1317">
        <f t="shared" si="19"/>
        <v>230.60199999999998</v>
      </c>
      <c r="E87" s="1317">
        <f t="shared" si="25"/>
        <v>0</v>
      </c>
      <c r="F87" s="699"/>
      <c r="G87" s="699"/>
      <c r="H87" s="1324">
        <f t="shared" si="17"/>
        <v>219.33499999999998</v>
      </c>
      <c r="I87" s="688">
        <f>5.634+2.767+4.44+5.348+4.44+4.62+6.366+0.683+0.666+123.479+60.892</f>
        <v>219.33499999999998</v>
      </c>
      <c r="J87" s="688"/>
      <c r="K87" s="1329">
        <f t="shared" si="15"/>
        <v>11.266999999999999</v>
      </c>
      <c r="L87" s="688">
        <f>0.669+6.048+4.55</f>
        <v>11.266999999999999</v>
      </c>
      <c r="M87" s="688"/>
      <c r="N87" s="714">
        <f t="shared" si="20"/>
        <v>0</v>
      </c>
      <c r="O87" s="719"/>
      <c r="P87" s="698">
        <f t="shared" si="21"/>
        <v>0</v>
      </c>
      <c r="Q87" s="720"/>
      <c r="R87" s="698">
        <f t="shared" si="22"/>
        <v>0</v>
      </c>
      <c r="S87" s="720"/>
      <c r="T87" s="720"/>
      <c r="U87" s="698">
        <f t="shared" si="23"/>
        <v>0</v>
      </c>
      <c r="V87" s="720"/>
      <c r="W87" s="698">
        <f t="shared" si="24"/>
        <v>0</v>
      </c>
      <c r="X87" s="720"/>
    </row>
    <row r="88" spans="1:24" ht="16.5" thickTop="1" thickBot="1">
      <c r="A88" s="1342" t="s">
        <v>98</v>
      </c>
      <c r="B88" s="1336" t="s">
        <v>99</v>
      </c>
      <c r="C88" s="1342" t="s">
        <v>21</v>
      </c>
      <c r="D88" s="1317">
        <f t="shared" ref="D88:D97" si="26">H88+K88</f>
        <v>395.50700000000001</v>
      </c>
      <c r="E88" s="1317">
        <f t="shared" si="25"/>
        <v>0</v>
      </c>
      <c r="F88" s="1338">
        <f t="shared" ref="F88:G88" si="27">F90+F92+F94</f>
        <v>0</v>
      </c>
      <c r="G88" s="1338">
        <f t="shared" si="27"/>
        <v>0</v>
      </c>
      <c r="H88" s="822">
        <f t="shared" ref="H88:H94" si="28">I88</f>
        <v>382.721</v>
      </c>
      <c r="I88" s="822">
        <f>I90+I92+I94</f>
        <v>382.721</v>
      </c>
      <c r="J88" s="822">
        <v>0</v>
      </c>
      <c r="K88" s="822">
        <f t="shared" si="15"/>
        <v>12.786000000000001</v>
      </c>
      <c r="L88" s="822">
        <f>L90+L92+L94</f>
        <v>12.786000000000001</v>
      </c>
      <c r="M88" s="822">
        <v>0</v>
      </c>
      <c r="N88" s="1338">
        <f t="shared" ref="N88:X88" si="29">N90+N92+N94</f>
        <v>0</v>
      </c>
      <c r="O88" s="1338">
        <f t="shared" si="29"/>
        <v>0</v>
      </c>
      <c r="P88" s="1338">
        <f t="shared" si="29"/>
        <v>0</v>
      </c>
      <c r="Q88" s="1338">
        <f t="shared" si="29"/>
        <v>0</v>
      </c>
      <c r="R88" s="1338">
        <f t="shared" si="29"/>
        <v>0</v>
      </c>
      <c r="S88" s="1338">
        <f t="shared" si="29"/>
        <v>0</v>
      </c>
      <c r="T88" s="1338">
        <f t="shared" si="29"/>
        <v>0</v>
      </c>
      <c r="U88" s="1338">
        <f t="shared" si="29"/>
        <v>0</v>
      </c>
      <c r="V88" s="1338">
        <f t="shared" si="29"/>
        <v>0</v>
      </c>
      <c r="W88" s="1338">
        <f t="shared" si="29"/>
        <v>0</v>
      </c>
      <c r="X88" s="1338">
        <f t="shared" si="29"/>
        <v>0</v>
      </c>
    </row>
    <row r="89" spans="1:24" ht="16.5" thickTop="1" thickBot="1">
      <c r="A89" s="751">
        <v>20</v>
      </c>
      <c r="B89" s="752" t="s">
        <v>100</v>
      </c>
      <c r="C89" s="808" t="s">
        <v>51</v>
      </c>
      <c r="D89" s="1317">
        <f>H89+K89</f>
        <v>0.28300000000000003</v>
      </c>
      <c r="E89" s="1317">
        <f t="shared" si="25"/>
        <v>0</v>
      </c>
      <c r="F89" s="699"/>
      <c r="G89" s="699"/>
      <c r="H89" s="800">
        <f t="shared" si="28"/>
        <v>0.27700000000000002</v>
      </c>
      <c r="I89" s="800">
        <f>0.091+0.186</f>
        <v>0.27700000000000002</v>
      </c>
      <c r="J89" s="800"/>
      <c r="K89" s="1317">
        <f t="shared" si="15"/>
        <v>6.0000000000000001E-3</v>
      </c>
      <c r="L89" s="699">
        <v>6.0000000000000001E-3</v>
      </c>
      <c r="M89" s="699"/>
      <c r="N89" s="698">
        <f t="shared" ref="N89:N94" si="30">O89</f>
        <v>0</v>
      </c>
      <c r="O89" s="801"/>
      <c r="P89" s="698">
        <f t="shared" ref="P89:P94" si="31">Q89</f>
        <v>0</v>
      </c>
      <c r="Q89" s="722"/>
      <c r="R89" s="698">
        <f t="shared" ref="R89:R94" si="32">S89+T89</f>
        <v>0</v>
      </c>
      <c r="S89" s="722"/>
      <c r="T89" s="722"/>
      <c r="U89" s="698">
        <f t="shared" ref="U89:U94" si="33">V89</f>
        <v>0</v>
      </c>
      <c r="V89" s="722"/>
      <c r="W89" s="698">
        <f t="shared" ref="W89:W94" si="34">X89</f>
        <v>0</v>
      </c>
      <c r="X89" s="722"/>
    </row>
    <row r="90" spans="1:24" ht="15.75" thickBot="1">
      <c r="A90" s="802"/>
      <c r="B90" s="803" t="s">
        <v>101</v>
      </c>
      <c r="C90" s="790" t="s">
        <v>21</v>
      </c>
      <c r="D90" s="1317">
        <f>H90+K90</f>
        <v>61.676000000000002</v>
      </c>
      <c r="E90" s="1317">
        <f t="shared" si="25"/>
        <v>0</v>
      </c>
      <c r="F90" s="699"/>
      <c r="G90" s="699"/>
      <c r="H90" s="800">
        <f t="shared" si="28"/>
        <v>61.084000000000003</v>
      </c>
      <c r="I90" s="800">
        <f>17.381+43.703</f>
        <v>61.084000000000003</v>
      </c>
      <c r="J90" s="800"/>
      <c r="K90" s="1317">
        <f t="shared" si="15"/>
        <v>0.59199999999999997</v>
      </c>
      <c r="L90" s="699">
        <v>0.59199999999999997</v>
      </c>
      <c r="M90" s="699"/>
      <c r="N90" s="698">
        <f t="shared" si="30"/>
        <v>0</v>
      </c>
      <c r="O90" s="804"/>
      <c r="P90" s="698">
        <f t="shared" si="31"/>
        <v>0</v>
      </c>
      <c r="Q90" s="720"/>
      <c r="R90" s="698">
        <f t="shared" si="32"/>
        <v>0</v>
      </c>
      <c r="S90" s="720"/>
      <c r="T90" s="720"/>
      <c r="U90" s="698">
        <f t="shared" si="33"/>
        <v>0</v>
      </c>
      <c r="V90" s="720"/>
      <c r="W90" s="698">
        <f t="shared" si="34"/>
        <v>0</v>
      </c>
      <c r="X90" s="720"/>
    </row>
    <row r="91" spans="1:24" ht="15.75" thickBot="1">
      <c r="A91" s="707">
        <v>21</v>
      </c>
      <c r="B91" s="708" t="s">
        <v>102</v>
      </c>
      <c r="C91" s="832" t="s">
        <v>47</v>
      </c>
      <c r="D91" s="1317">
        <f t="shared" si="26"/>
        <v>244</v>
      </c>
      <c r="E91" s="1317">
        <f t="shared" si="25"/>
        <v>0</v>
      </c>
      <c r="F91" s="699"/>
      <c r="G91" s="699"/>
      <c r="H91" s="800">
        <f t="shared" si="28"/>
        <v>232</v>
      </c>
      <c r="I91" s="800">
        <f>1+1+1+1+1+4+4+5+9+1+1+3+1+3+5+1+1+1+5+1+7+2+2+6+41+124</f>
        <v>232</v>
      </c>
      <c r="J91" s="631"/>
      <c r="K91" s="699">
        <f t="shared" si="15"/>
        <v>12</v>
      </c>
      <c r="L91" s="699">
        <f>1+3+1+7</f>
        <v>12</v>
      </c>
      <c r="M91" s="699"/>
      <c r="N91" s="698">
        <f t="shared" si="30"/>
        <v>0</v>
      </c>
      <c r="O91" s="805"/>
      <c r="P91" s="698">
        <f t="shared" si="31"/>
        <v>0</v>
      </c>
      <c r="Q91" s="694"/>
      <c r="R91" s="698">
        <f t="shared" si="32"/>
        <v>0</v>
      </c>
      <c r="S91" s="694"/>
      <c r="T91" s="694"/>
      <c r="U91" s="698">
        <f t="shared" si="33"/>
        <v>0</v>
      </c>
      <c r="V91" s="694"/>
      <c r="W91" s="698">
        <f t="shared" si="34"/>
        <v>0</v>
      </c>
      <c r="X91" s="694"/>
    </row>
    <row r="92" spans="1:24" ht="15.75" thickBot="1">
      <c r="A92" s="806"/>
      <c r="B92" s="739" t="s">
        <v>103</v>
      </c>
      <c r="C92" s="1334" t="s">
        <v>21</v>
      </c>
      <c r="D92" s="1317">
        <f>H92+K92</f>
        <v>216.17400000000001</v>
      </c>
      <c r="E92" s="1317">
        <f t="shared" si="25"/>
        <v>0</v>
      </c>
      <c r="F92" s="699"/>
      <c r="G92" s="699"/>
      <c r="H92" s="800">
        <f t="shared" si="28"/>
        <v>207.732</v>
      </c>
      <c r="I92" s="800">
        <f>0.7+0.745+0.7+0.7+0.543+0.841+0.841+1.051+4.886+0.543+0.572+1.628+0.543+2.454+4.092+0.543+1.051+0.7+1.051+1.189+1.473+1.146+22.129+2.454+59.657+95.5</f>
        <v>207.732</v>
      </c>
      <c r="J92" s="800"/>
      <c r="K92" s="699">
        <f t="shared" si="15"/>
        <v>8.4420000000000002</v>
      </c>
      <c r="L92" s="699">
        <f>0.818+2.454+0.572+4.598</f>
        <v>8.4420000000000002</v>
      </c>
      <c r="M92" s="699"/>
      <c r="N92" s="698">
        <f t="shared" si="30"/>
        <v>0</v>
      </c>
      <c r="O92" s="807"/>
      <c r="P92" s="698">
        <f t="shared" si="31"/>
        <v>0</v>
      </c>
      <c r="Q92" s="720"/>
      <c r="R92" s="698">
        <f t="shared" si="32"/>
        <v>0</v>
      </c>
      <c r="S92" s="720"/>
      <c r="T92" s="720"/>
      <c r="U92" s="698">
        <f t="shared" si="33"/>
        <v>0</v>
      </c>
      <c r="V92" s="720"/>
      <c r="W92" s="698">
        <f t="shared" si="34"/>
        <v>0</v>
      </c>
      <c r="X92" s="720"/>
    </row>
    <row r="93" spans="1:24" ht="15.75" thickBot="1">
      <c r="A93" s="808" t="s">
        <v>104</v>
      </c>
      <c r="B93" s="752" t="s">
        <v>105</v>
      </c>
      <c r="C93" s="808" t="s">
        <v>47</v>
      </c>
      <c r="D93" s="1317">
        <f t="shared" si="26"/>
        <v>18</v>
      </c>
      <c r="E93" s="1317">
        <f t="shared" si="25"/>
        <v>0</v>
      </c>
      <c r="F93" s="699"/>
      <c r="G93" s="699"/>
      <c r="H93" s="800">
        <f t="shared" si="28"/>
        <v>16</v>
      </c>
      <c r="I93" s="800">
        <f>1+15</f>
        <v>16</v>
      </c>
      <c r="J93" s="800"/>
      <c r="K93" s="1317">
        <f t="shared" si="15"/>
        <v>2</v>
      </c>
      <c r="L93" s="699">
        <f>2</f>
        <v>2</v>
      </c>
      <c r="M93" s="699"/>
      <c r="N93" s="698">
        <f t="shared" si="30"/>
        <v>0</v>
      </c>
      <c r="O93" s="721"/>
      <c r="P93" s="698">
        <f t="shared" si="31"/>
        <v>0</v>
      </c>
      <c r="Q93" s="722"/>
      <c r="R93" s="698">
        <f t="shared" si="32"/>
        <v>0</v>
      </c>
      <c r="S93" s="722"/>
      <c r="T93" s="722"/>
      <c r="U93" s="698">
        <f t="shared" si="33"/>
        <v>0</v>
      </c>
      <c r="V93" s="722"/>
      <c r="W93" s="698">
        <f t="shared" si="34"/>
        <v>0</v>
      </c>
      <c r="X93" s="722"/>
    </row>
    <row r="94" spans="1:24" ht="15.75" thickBot="1">
      <c r="A94" s="809"/>
      <c r="B94" s="810"/>
      <c r="C94" s="809" t="s">
        <v>21</v>
      </c>
      <c r="D94" s="1317">
        <f t="shared" si="26"/>
        <v>117.657</v>
      </c>
      <c r="E94" s="1317">
        <f t="shared" si="25"/>
        <v>0</v>
      </c>
      <c r="F94" s="699"/>
      <c r="G94" s="699"/>
      <c r="H94" s="800">
        <f t="shared" si="28"/>
        <v>113.905</v>
      </c>
      <c r="I94" s="800">
        <f>3.955+109.95</f>
        <v>113.905</v>
      </c>
      <c r="J94" s="800"/>
      <c r="K94" s="1317">
        <f t="shared" si="15"/>
        <v>3.7519999999999998</v>
      </c>
      <c r="L94" s="699">
        <f>3.752</f>
        <v>3.7519999999999998</v>
      </c>
      <c r="M94" s="699"/>
      <c r="N94" s="698">
        <f t="shared" si="30"/>
        <v>0</v>
      </c>
      <c r="O94" s="715"/>
      <c r="P94" s="698">
        <f t="shared" si="31"/>
        <v>0</v>
      </c>
      <c r="Q94" s="720"/>
      <c r="R94" s="698">
        <f t="shared" si="32"/>
        <v>0</v>
      </c>
      <c r="S94" s="720"/>
      <c r="T94" s="720"/>
      <c r="U94" s="698">
        <f t="shared" si="33"/>
        <v>0</v>
      </c>
      <c r="V94" s="720"/>
      <c r="W94" s="698">
        <f t="shared" si="34"/>
        <v>0</v>
      </c>
      <c r="X94" s="720"/>
    </row>
    <row r="95" spans="1:24" ht="34.5" thickTop="1" thickBot="1">
      <c r="A95" s="1343" t="s">
        <v>106</v>
      </c>
      <c r="B95" s="1344" t="s">
        <v>107</v>
      </c>
      <c r="C95" s="1343" t="s">
        <v>21</v>
      </c>
      <c r="D95" s="1317">
        <f>D98</f>
        <v>230.75299999999999</v>
      </c>
      <c r="E95" s="1317">
        <f t="shared" si="25"/>
        <v>0</v>
      </c>
      <c r="F95" s="1345">
        <f t="shared" ref="F95:X95" si="35">F96+F97</f>
        <v>0</v>
      </c>
      <c r="G95" s="1345">
        <f t="shared" si="35"/>
        <v>0</v>
      </c>
      <c r="H95" s="1345">
        <f>H98</f>
        <v>200.46099999999998</v>
      </c>
      <c r="I95" s="1345">
        <f>I98</f>
        <v>200.46099999999998</v>
      </c>
      <c r="J95" s="1345">
        <f t="shared" si="35"/>
        <v>0</v>
      </c>
      <c r="K95" s="1345">
        <f>K96+K97+K98</f>
        <v>30.292000000000002</v>
      </c>
      <c r="L95" s="1345">
        <f>L98</f>
        <v>30.292000000000002</v>
      </c>
      <c r="M95" s="1345">
        <v>0</v>
      </c>
      <c r="N95" s="1345">
        <f t="shared" si="35"/>
        <v>0</v>
      </c>
      <c r="O95" s="1345">
        <f t="shared" si="35"/>
        <v>0</v>
      </c>
      <c r="P95" s="1345">
        <f t="shared" si="35"/>
        <v>0</v>
      </c>
      <c r="Q95" s="1345">
        <f t="shared" si="35"/>
        <v>0</v>
      </c>
      <c r="R95" s="1345">
        <f t="shared" si="35"/>
        <v>0</v>
      </c>
      <c r="S95" s="1345">
        <f t="shared" si="35"/>
        <v>0</v>
      </c>
      <c r="T95" s="1345">
        <f t="shared" si="35"/>
        <v>0</v>
      </c>
      <c r="U95" s="1345">
        <f t="shared" si="35"/>
        <v>0</v>
      </c>
      <c r="V95" s="1345">
        <f t="shared" si="35"/>
        <v>0</v>
      </c>
      <c r="W95" s="1345">
        <f t="shared" si="35"/>
        <v>0</v>
      </c>
      <c r="X95" s="1345">
        <f t="shared" si="35"/>
        <v>0</v>
      </c>
    </row>
    <row r="96" spans="1:24" ht="16.5" thickTop="1" thickBot="1">
      <c r="A96" s="684" t="s">
        <v>108</v>
      </c>
      <c r="B96" s="814" t="s">
        <v>304</v>
      </c>
      <c r="C96" s="1346" t="s">
        <v>21</v>
      </c>
      <c r="D96" s="1317">
        <f t="shared" si="26"/>
        <v>0</v>
      </c>
      <c r="E96" s="1317">
        <f t="shared" si="25"/>
        <v>0</v>
      </c>
      <c r="F96" s="699"/>
      <c r="G96" s="699"/>
      <c r="H96" s="1317"/>
      <c r="I96" s="699"/>
      <c r="J96" s="699"/>
      <c r="K96" s="1317"/>
      <c r="L96" s="699"/>
      <c r="M96" s="699"/>
      <c r="N96" s="698">
        <f>O96</f>
        <v>0</v>
      </c>
      <c r="O96" s="721"/>
      <c r="P96" s="698">
        <f>Q96</f>
        <v>0</v>
      </c>
      <c r="Q96" s="686"/>
      <c r="R96" s="698">
        <f>S96+T96</f>
        <v>0</v>
      </c>
      <c r="S96" s="686"/>
      <c r="T96" s="686"/>
      <c r="U96" s="698">
        <f>V96</f>
        <v>0</v>
      </c>
      <c r="V96" s="686"/>
      <c r="W96" s="698">
        <f>X96</f>
        <v>0</v>
      </c>
      <c r="X96" s="686"/>
    </row>
    <row r="97" spans="1:24" ht="15.75" thickBot="1">
      <c r="A97" s="816" t="s">
        <v>109</v>
      </c>
      <c r="B97" s="814" t="s">
        <v>305</v>
      </c>
      <c r="C97" s="816" t="s">
        <v>21</v>
      </c>
      <c r="D97" s="1317">
        <f t="shared" si="26"/>
        <v>0</v>
      </c>
      <c r="E97" s="1317">
        <f t="shared" si="25"/>
        <v>0</v>
      </c>
      <c r="F97" s="699"/>
      <c r="G97" s="699"/>
      <c r="H97" s="1317"/>
      <c r="I97" s="699"/>
      <c r="J97" s="699"/>
      <c r="K97" s="1317"/>
      <c r="L97" s="699"/>
      <c r="M97" s="699"/>
      <c r="N97" s="698">
        <f>O97</f>
        <v>0</v>
      </c>
      <c r="O97" s="817"/>
      <c r="P97" s="698">
        <f>Q97</f>
        <v>0</v>
      </c>
      <c r="Q97" s="686"/>
      <c r="R97" s="698">
        <f>S97+T97</f>
        <v>0</v>
      </c>
      <c r="S97" s="686"/>
      <c r="T97" s="686"/>
      <c r="U97" s="698">
        <f>V97</f>
        <v>0</v>
      </c>
      <c r="V97" s="686"/>
      <c r="W97" s="698">
        <f>X97</f>
        <v>0</v>
      </c>
      <c r="X97" s="686"/>
    </row>
    <row r="98" spans="1:24" ht="15.75" thickBot="1">
      <c r="A98" s="816" t="s">
        <v>110</v>
      </c>
      <c r="B98" s="814" t="s">
        <v>111</v>
      </c>
      <c r="C98" s="816" t="s">
        <v>21</v>
      </c>
      <c r="D98" s="1317">
        <f>I98+L98</f>
        <v>230.75299999999999</v>
      </c>
      <c r="E98" s="1317">
        <f t="shared" si="25"/>
        <v>0</v>
      </c>
      <c r="F98" s="699"/>
      <c r="G98" s="699"/>
      <c r="H98" s="699">
        <f>I98</f>
        <v>200.46099999999998</v>
      </c>
      <c r="I98" s="699">
        <f>13.677+4.48+5.462+0.686+0.858+0.395+0.527+2.325+1.09+5.495+4.053+2.653+1.602+2.697+0.17+5.988+1.055+101.968+45.28</f>
        <v>200.46099999999998</v>
      </c>
      <c r="J98" s="699"/>
      <c r="K98" s="699">
        <f>L98</f>
        <v>30.292000000000002</v>
      </c>
      <c r="L98" s="699">
        <f>4.106+5.462+20.724</f>
        <v>30.292000000000002</v>
      </c>
      <c r="M98" s="699"/>
      <c r="N98" s="698">
        <f>O98</f>
        <v>0</v>
      </c>
      <c r="O98" s="817"/>
      <c r="P98" s="698">
        <f>Q98</f>
        <v>0</v>
      </c>
      <c r="Q98" s="686"/>
      <c r="R98" s="698">
        <f>S98+T98</f>
        <v>0</v>
      </c>
      <c r="S98" s="686"/>
      <c r="T98" s="686"/>
      <c r="U98" s="698">
        <f>V98</f>
        <v>0</v>
      </c>
      <c r="V98" s="686"/>
      <c r="W98" s="698">
        <f>X98</f>
        <v>0</v>
      </c>
      <c r="X98" s="686"/>
    </row>
    <row r="99" spans="1:24" ht="15.75" thickBot="1">
      <c r="A99" s="818"/>
      <c r="B99" s="819" t="s">
        <v>112</v>
      </c>
      <c r="C99" s="1347" t="s">
        <v>21</v>
      </c>
      <c r="D99" s="1348">
        <f>D95+D88+D73+D14</f>
        <v>7016.8550000000005</v>
      </c>
      <c r="E99" s="1317">
        <f t="shared" si="25"/>
        <v>0</v>
      </c>
      <c r="F99" s="821">
        <f t="shared" ref="F99:X99" si="36">F98+F95+F88+F73+F14</f>
        <v>0</v>
      </c>
      <c r="G99" s="821">
        <f t="shared" si="36"/>
        <v>0</v>
      </c>
      <c r="H99" s="1348">
        <f>I99+J99</f>
        <v>6381.4110000000001</v>
      </c>
      <c r="I99" s="821">
        <f>I95+I88+I73+I14</f>
        <v>5270.3379999999997</v>
      </c>
      <c r="J99" s="821">
        <f>J95+J88+J73+J14</f>
        <v>1111.0730000000001</v>
      </c>
      <c r="K99" s="1348">
        <f>L99+M99</f>
        <v>501.80599999999998</v>
      </c>
      <c r="L99" s="821">
        <f>L95+L88+L73+L14</f>
        <v>406.298</v>
      </c>
      <c r="M99" s="821">
        <f>M35</f>
        <v>95.507999999999996</v>
      </c>
      <c r="N99" s="822">
        <f t="shared" si="36"/>
        <v>0</v>
      </c>
      <c r="O99" s="822">
        <f t="shared" si="36"/>
        <v>0</v>
      </c>
      <c r="P99" s="822">
        <f t="shared" si="36"/>
        <v>0</v>
      </c>
      <c r="Q99" s="822">
        <f t="shared" si="36"/>
        <v>0</v>
      </c>
      <c r="R99" s="822">
        <f t="shared" si="36"/>
        <v>0</v>
      </c>
      <c r="S99" s="822">
        <f t="shared" si="36"/>
        <v>0</v>
      </c>
      <c r="T99" s="822">
        <f t="shared" si="36"/>
        <v>0</v>
      </c>
      <c r="U99" s="822">
        <f t="shared" si="36"/>
        <v>0</v>
      </c>
      <c r="V99" s="822">
        <f t="shared" si="36"/>
        <v>0</v>
      </c>
      <c r="W99" s="822">
        <f t="shared" si="36"/>
        <v>0</v>
      </c>
      <c r="X99" s="822">
        <f t="shared" si="36"/>
        <v>0</v>
      </c>
    </row>
    <row r="100" spans="1:24" ht="15.75" thickTop="1">
      <c r="A100" s="823"/>
      <c r="B100" s="824"/>
      <c r="C100" s="824"/>
      <c r="D100" s="824">
        <v>80648.726999999999</v>
      </c>
      <c r="E100" s="824">
        <f>80648.727-D99</f>
        <v>73631.872000000003</v>
      </c>
      <c r="F100" s="824"/>
      <c r="G100" s="824"/>
      <c r="H100" s="824"/>
      <c r="I100" s="824"/>
      <c r="J100" s="824"/>
      <c r="K100" s="824"/>
      <c r="L100" s="824"/>
      <c r="M100" s="824"/>
      <c r="N100" s="824"/>
      <c r="O100" s="824"/>
      <c r="P100" s="824"/>
      <c r="Q100" s="824"/>
      <c r="R100" s="824"/>
      <c r="S100" s="824"/>
      <c r="T100" s="824"/>
      <c r="U100" s="824"/>
      <c r="V100" s="824"/>
      <c r="W100" s="824"/>
      <c r="X100" s="824"/>
    </row>
    <row r="101" spans="1:24">
      <c r="A101" s="825"/>
      <c r="B101" s="825"/>
      <c r="C101" s="825"/>
      <c r="D101" s="1177">
        <f>I52</f>
        <v>49.901000000000003</v>
      </c>
      <c r="E101" s="825"/>
      <c r="F101" s="825"/>
      <c r="G101" s="825"/>
      <c r="H101" s="825"/>
      <c r="I101" s="825">
        <f>H98-I98</f>
        <v>0</v>
      </c>
      <c r="J101" s="825">
        <f>I98+E100</f>
        <v>73832.332999999999</v>
      </c>
      <c r="K101" s="825"/>
      <c r="L101" s="825"/>
      <c r="M101" s="825">
        <f>9567.184-K99</f>
        <v>9065.3779999999988</v>
      </c>
      <c r="N101" s="825"/>
      <c r="O101" s="825"/>
      <c r="P101" s="825"/>
      <c r="Q101" s="825"/>
      <c r="R101" s="825"/>
      <c r="S101" s="825"/>
      <c r="T101" s="825"/>
      <c r="U101" s="825"/>
      <c r="V101" s="825"/>
      <c r="W101" s="825"/>
      <c r="X101" s="825"/>
    </row>
    <row r="102" spans="1:24" ht="15.75" thickBot="1">
      <c r="A102" s="1734" t="s">
        <v>113</v>
      </c>
      <c r="B102" s="1734"/>
      <c r="C102" s="1734"/>
      <c r="D102" s="1734"/>
      <c r="E102" s="1734"/>
      <c r="F102" s="1734"/>
      <c r="G102" s="1734"/>
      <c r="H102" s="1734"/>
      <c r="I102" s="1734"/>
      <c r="J102" s="1734"/>
      <c r="K102" s="1734"/>
      <c r="L102" s="1734"/>
      <c r="M102" s="1734"/>
      <c r="N102" s="1734"/>
      <c r="O102" s="1734"/>
      <c r="P102" s="1734"/>
      <c r="Q102" s="1734"/>
      <c r="R102" s="1734"/>
      <c r="S102" s="1734"/>
      <c r="T102" s="1734"/>
      <c r="U102" s="826"/>
      <c r="V102" s="826"/>
      <c r="W102" s="826"/>
      <c r="X102" s="826"/>
    </row>
    <row r="103" spans="1:24" ht="15.75" thickBot="1">
      <c r="A103" s="808" t="s">
        <v>114</v>
      </c>
      <c r="B103" s="752" t="s">
        <v>115</v>
      </c>
      <c r="C103" s="808" t="s">
        <v>47</v>
      </c>
      <c r="D103" s="698">
        <f t="shared" ref="D103:D128" si="37">E103+H103+K103+N103+P103+R103+U103+W103</f>
        <v>0</v>
      </c>
      <c r="E103" s="698">
        <f t="shared" ref="E103:E128" si="38">F103+G103</f>
        <v>0</v>
      </c>
      <c r="F103" s="721"/>
      <c r="G103" s="721"/>
      <c r="H103" s="698">
        <f t="shared" ref="H103:H139" si="39">I103+J103</f>
        <v>0</v>
      </c>
      <c r="I103" s="721"/>
      <c r="J103" s="721"/>
      <c r="K103" s="698">
        <f t="shared" ref="K103:K139" si="40">L103+M103</f>
        <v>0</v>
      </c>
      <c r="L103" s="721"/>
      <c r="M103" s="721"/>
      <c r="N103" s="698">
        <f t="shared" ref="N103:N139" si="41">O103</f>
        <v>0</v>
      </c>
      <c r="O103" s="721"/>
      <c r="P103" s="698">
        <f t="shared" ref="P103:P139" si="42">Q103</f>
        <v>0</v>
      </c>
      <c r="Q103" s="801"/>
      <c r="R103" s="698">
        <f t="shared" ref="R103:R139" si="43">S103+T103</f>
        <v>0</v>
      </c>
      <c r="S103" s="735"/>
      <c r="T103" s="827"/>
      <c r="U103" s="698">
        <f t="shared" ref="U103:U139" si="44">V103</f>
        <v>0</v>
      </c>
      <c r="V103" s="735"/>
      <c r="W103" s="698">
        <f t="shared" ref="W103:W139" si="45">X103</f>
        <v>0</v>
      </c>
      <c r="X103" s="735"/>
    </row>
    <row r="104" spans="1:24" ht="15.75" thickBot="1">
      <c r="A104" s="828"/>
      <c r="B104" s="754" t="s">
        <v>116</v>
      </c>
      <c r="C104" s="828" t="s">
        <v>21</v>
      </c>
      <c r="D104" s="698">
        <f t="shared" si="37"/>
        <v>0</v>
      </c>
      <c r="E104" s="698">
        <f t="shared" si="38"/>
        <v>0</v>
      </c>
      <c r="F104" s="721"/>
      <c r="G104" s="721"/>
      <c r="H104" s="698">
        <f t="shared" si="39"/>
        <v>0</v>
      </c>
      <c r="I104" s="721"/>
      <c r="J104" s="721"/>
      <c r="K104" s="698">
        <f t="shared" si="40"/>
        <v>0</v>
      </c>
      <c r="L104" s="721"/>
      <c r="M104" s="721"/>
      <c r="N104" s="698">
        <f t="shared" si="41"/>
        <v>0</v>
      </c>
      <c r="O104" s="715"/>
      <c r="P104" s="698">
        <f t="shared" si="42"/>
        <v>0</v>
      </c>
      <c r="Q104" s="829"/>
      <c r="R104" s="698">
        <f t="shared" si="43"/>
        <v>0</v>
      </c>
      <c r="S104" s="742"/>
      <c r="T104" s="830"/>
      <c r="U104" s="698">
        <f t="shared" si="44"/>
        <v>0</v>
      </c>
      <c r="V104" s="831"/>
      <c r="W104" s="698">
        <f t="shared" si="45"/>
        <v>0</v>
      </c>
      <c r="X104" s="831"/>
    </row>
    <row r="105" spans="1:24" ht="15.75" thickBot="1">
      <c r="A105" s="808" t="s">
        <v>117</v>
      </c>
      <c r="B105" s="752" t="s">
        <v>118</v>
      </c>
      <c r="C105" s="808" t="s">
        <v>47</v>
      </c>
      <c r="D105" s="698">
        <f t="shared" si="37"/>
        <v>0</v>
      </c>
      <c r="E105" s="698">
        <f t="shared" si="38"/>
        <v>0</v>
      </c>
      <c r="F105" s="721"/>
      <c r="G105" s="721"/>
      <c r="H105" s="698">
        <f t="shared" si="39"/>
        <v>0</v>
      </c>
      <c r="I105" s="721"/>
      <c r="J105" s="721"/>
      <c r="K105" s="698">
        <f t="shared" si="40"/>
        <v>0</v>
      </c>
      <c r="L105" s="721"/>
      <c r="M105" s="721"/>
      <c r="N105" s="698">
        <f t="shared" si="41"/>
        <v>0</v>
      </c>
      <c r="O105" s="721"/>
      <c r="P105" s="698">
        <f t="shared" si="42"/>
        <v>0</v>
      </c>
      <c r="Q105" s="795"/>
      <c r="R105" s="698">
        <f t="shared" si="43"/>
        <v>0</v>
      </c>
      <c r="S105" s="782"/>
      <c r="T105" s="808"/>
      <c r="U105" s="698">
        <f t="shared" si="44"/>
        <v>0</v>
      </c>
      <c r="V105" s="722"/>
      <c r="W105" s="698">
        <f t="shared" si="45"/>
        <v>0</v>
      </c>
      <c r="X105" s="722"/>
    </row>
    <row r="106" spans="1:24" ht="15.75" thickBot="1">
      <c r="A106" s="790"/>
      <c r="B106" s="804"/>
      <c r="C106" s="790" t="s">
        <v>21</v>
      </c>
      <c r="D106" s="698">
        <f t="shared" si="37"/>
        <v>0</v>
      </c>
      <c r="E106" s="698">
        <f t="shared" si="38"/>
        <v>0</v>
      </c>
      <c r="F106" s="721"/>
      <c r="G106" s="721"/>
      <c r="H106" s="698">
        <f t="shared" si="39"/>
        <v>0</v>
      </c>
      <c r="I106" s="721"/>
      <c r="J106" s="721"/>
      <c r="K106" s="698">
        <f t="shared" si="40"/>
        <v>0</v>
      </c>
      <c r="L106" s="721"/>
      <c r="M106" s="721"/>
      <c r="N106" s="698">
        <f t="shared" si="41"/>
        <v>0</v>
      </c>
      <c r="O106" s="719"/>
      <c r="P106" s="698">
        <f t="shared" si="42"/>
        <v>0</v>
      </c>
      <c r="Q106" s="717"/>
      <c r="R106" s="698">
        <f t="shared" si="43"/>
        <v>0</v>
      </c>
      <c r="S106" s="742"/>
      <c r="T106" s="790"/>
      <c r="U106" s="698">
        <f t="shared" si="44"/>
        <v>0</v>
      </c>
      <c r="V106" s="720"/>
      <c r="W106" s="698">
        <f t="shared" si="45"/>
        <v>0</v>
      </c>
      <c r="X106" s="720"/>
    </row>
    <row r="107" spans="1:24" ht="15.75" thickBot="1">
      <c r="A107" s="808" t="s">
        <v>119</v>
      </c>
      <c r="B107" s="752" t="s">
        <v>120</v>
      </c>
      <c r="C107" s="808" t="s">
        <v>47</v>
      </c>
      <c r="D107" s="698">
        <f t="shared" si="37"/>
        <v>0</v>
      </c>
      <c r="E107" s="698">
        <f t="shared" si="38"/>
        <v>0</v>
      </c>
      <c r="F107" s="721"/>
      <c r="G107" s="721"/>
      <c r="H107" s="698">
        <f t="shared" si="39"/>
        <v>0</v>
      </c>
      <c r="I107" s="721"/>
      <c r="J107" s="721"/>
      <c r="K107" s="698">
        <f t="shared" si="40"/>
        <v>0</v>
      </c>
      <c r="L107" s="721"/>
      <c r="M107" s="721"/>
      <c r="N107" s="698">
        <f t="shared" si="41"/>
        <v>0</v>
      </c>
      <c r="O107" s="721"/>
      <c r="P107" s="698">
        <f t="shared" si="42"/>
        <v>0</v>
      </c>
      <c r="Q107" s="795"/>
      <c r="R107" s="698">
        <f t="shared" si="43"/>
        <v>0</v>
      </c>
      <c r="S107" s="735"/>
      <c r="T107" s="808"/>
      <c r="U107" s="698">
        <f t="shared" si="44"/>
        <v>0</v>
      </c>
      <c r="V107" s="722"/>
      <c r="W107" s="698">
        <f t="shared" si="45"/>
        <v>0</v>
      </c>
      <c r="X107" s="722"/>
    </row>
    <row r="108" spans="1:24" ht="15.75" thickBot="1">
      <c r="A108" s="790"/>
      <c r="B108" s="804"/>
      <c r="C108" s="790" t="s">
        <v>21</v>
      </c>
      <c r="D108" s="698">
        <f t="shared" si="37"/>
        <v>0</v>
      </c>
      <c r="E108" s="698">
        <f t="shared" si="38"/>
        <v>0</v>
      </c>
      <c r="F108" s="721"/>
      <c r="G108" s="721"/>
      <c r="H108" s="698">
        <f t="shared" si="39"/>
        <v>0</v>
      </c>
      <c r="I108" s="721"/>
      <c r="J108" s="721"/>
      <c r="K108" s="698">
        <f t="shared" si="40"/>
        <v>0</v>
      </c>
      <c r="L108" s="721"/>
      <c r="M108" s="721"/>
      <c r="N108" s="698">
        <f t="shared" si="41"/>
        <v>0</v>
      </c>
      <c r="O108" s="719"/>
      <c r="P108" s="698">
        <f t="shared" si="42"/>
        <v>0</v>
      </c>
      <c r="Q108" s="717"/>
      <c r="R108" s="698">
        <f t="shared" si="43"/>
        <v>0</v>
      </c>
      <c r="S108" s="742"/>
      <c r="T108" s="790"/>
      <c r="U108" s="698">
        <f t="shared" si="44"/>
        <v>0</v>
      </c>
      <c r="V108" s="720"/>
      <c r="W108" s="698">
        <f t="shared" si="45"/>
        <v>0</v>
      </c>
      <c r="X108" s="720"/>
    </row>
    <row r="109" spans="1:24" ht="15.75" thickBot="1">
      <c r="A109" s="832" t="s">
        <v>121</v>
      </c>
      <c r="B109" s="833" t="s">
        <v>122</v>
      </c>
      <c r="C109" s="832" t="s">
        <v>24</v>
      </c>
      <c r="D109" s="698">
        <f t="shared" si="37"/>
        <v>0</v>
      </c>
      <c r="E109" s="698">
        <f t="shared" si="38"/>
        <v>0</v>
      </c>
      <c r="F109" s="721"/>
      <c r="G109" s="721"/>
      <c r="H109" s="698">
        <f t="shared" si="39"/>
        <v>0</v>
      </c>
      <c r="I109" s="721"/>
      <c r="J109" s="721"/>
      <c r="K109" s="698">
        <f t="shared" si="40"/>
        <v>0</v>
      </c>
      <c r="L109" s="721"/>
      <c r="M109" s="721"/>
      <c r="N109" s="698">
        <f t="shared" si="41"/>
        <v>0</v>
      </c>
      <c r="O109" s="834"/>
      <c r="P109" s="698">
        <f t="shared" si="42"/>
        <v>0</v>
      </c>
      <c r="Q109" s="805"/>
      <c r="R109" s="698">
        <f t="shared" si="43"/>
        <v>0</v>
      </c>
      <c r="S109" s="782"/>
      <c r="T109" s="835"/>
      <c r="U109" s="698">
        <f t="shared" si="44"/>
        <v>0</v>
      </c>
      <c r="V109" s="782"/>
      <c r="W109" s="698">
        <f t="shared" si="45"/>
        <v>0</v>
      </c>
      <c r="X109" s="782"/>
    </row>
    <row r="110" spans="1:24" ht="15.75" thickBot="1">
      <c r="A110" s="790"/>
      <c r="B110" s="803" t="s">
        <v>123</v>
      </c>
      <c r="C110" s="790" t="s">
        <v>21</v>
      </c>
      <c r="D110" s="698">
        <f t="shared" si="37"/>
        <v>0</v>
      </c>
      <c r="E110" s="698">
        <f t="shared" si="38"/>
        <v>0</v>
      </c>
      <c r="F110" s="721"/>
      <c r="G110" s="721"/>
      <c r="H110" s="698">
        <f t="shared" si="39"/>
        <v>0</v>
      </c>
      <c r="I110" s="721"/>
      <c r="J110" s="721"/>
      <c r="K110" s="698">
        <f t="shared" si="40"/>
        <v>0</v>
      </c>
      <c r="L110" s="721"/>
      <c r="M110" s="721"/>
      <c r="N110" s="698">
        <f t="shared" si="41"/>
        <v>0</v>
      </c>
      <c r="O110" s="836"/>
      <c r="P110" s="698">
        <f t="shared" si="42"/>
        <v>0</v>
      </c>
      <c r="Q110" s="807"/>
      <c r="R110" s="698">
        <f t="shared" si="43"/>
        <v>0</v>
      </c>
      <c r="S110" s="837"/>
      <c r="T110" s="838"/>
      <c r="U110" s="698">
        <f t="shared" si="44"/>
        <v>0</v>
      </c>
      <c r="V110" s="837"/>
      <c r="W110" s="698">
        <f t="shared" si="45"/>
        <v>0</v>
      </c>
      <c r="X110" s="837"/>
    </row>
    <row r="111" spans="1:24" ht="15.75" thickBot="1">
      <c r="A111" s="832" t="s">
        <v>124</v>
      </c>
      <c r="B111" s="833" t="s">
        <v>125</v>
      </c>
      <c r="C111" s="832" t="s">
        <v>47</v>
      </c>
      <c r="D111" s="698">
        <f t="shared" si="37"/>
        <v>0</v>
      </c>
      <c r="E111" s="698">
        <f t="shared" si="38"/>
        <v>0</v>
      </c>
      <c r="F111" s="721"/>
      <c r="G111" s="721"/>
      <c r="H111" s="698">
        <f t="shared" si="39"/>
        <v>0</v>
      </c>
      <c r="I111" s="721"/>
      <c r="J111" s="721"/>
      <c r="K111" s="698">
        <f t="shared" si="40"/>
        <v>0</v>
      </c>
      <c r="L111" s="721"/>
      <c r="M111" s="721"/>
      <c r="N111" s="698">
        <f t="shared" si="41"/>
        <v>0</v>
      </c>
      <c r="O111" s="721"/>
      <c r="P111" s="698">
        <f t="shared" si="42"/>
        <v>0</v>
      </c>
      <c r="Q111" s="801"/>
      <c r="R111" s="698">
        <f t="shared" si="43"/>
        <v>0</v>
      </c>
      <c r="S111" s="735"/>
      <c r="T111" s="827"/>
      <c r="U111" s="698">
        <f t="shared" si="44"/>
        <v>0</v>
      </c>
      <c r="V111" s="735"/>
      <c r="W111" s="698">
        <f t="shared" si="45"/>
        <v>0</v>
      </c>
      <c r="X111" s="735"/>
    </row>
    <row r="112" spans="1:24" ht="15.75" thickBot="1">
      <c r="A112" s="809"/>
      <c r="B112" s="810"/>
      <c r="C112" s="809" t="s">
        <v>21</v>
      </c>
      <c r="D112" s="698">
        <f t="shared" si="37"/>
        <v>0</v>
      </c>
      <c r="E112" s="698">
        <f t="shared" si="38"/>
        <v>0</v>
      </c>
      <c r="F112" s="721"/>
      <c r="G112" s="721"/>
      <c r="H112" s="698">
        <f t="shared" si="39"/>
        <v>0</v>
      </c>
      <c r="I112" s="721"/>
      <c r="J112" s="721"/>
      <c r="K112" s="698">
        <f t="shared" si="40"/>
        <v>0</v>
      </c>
      <c r="L112" s="721"/>
      <c r="M112" s="721"/>
      <c r="N112" s="698">
        <f t="shared" si="41"/>
        <v>0</v>
      </c>
      <c r="O112" s="836"/>
      <c r="P112" s="698">
        <f t="shared" si="42"/>
        <v>0</v>
      </c>
      <c r="Q112" s="807"/>
      <c r="R112" s="698">
        <f t="shared" si="43"/>
        <v>0</v>
      </c>
      <c r="S112" s="837"/>
      <c r="T112" s="838"/>
      <c r="U112" s="698">
        <f t="shared" si="44"/>
        <v>0</v>
      </c>
      <c r="V112" s="837"/>
      <c r="W112" s="698">
        <f t="shared" si="45"/>
        <v>0</v>
      </c>
      <c r="X112" s="837"/>
    </row>
    <row r="113" spans="1:24" ht="15.75" thickBot="1">
      <c r="A113" s="808" t="s">
        <v>126</v>
      </c>
      <c r="B113" s="752" t="s">
        <v>127</v>
      </c>
      <c r="C113" s="808" t="s">
        <v>51</v>
      </c>
      <c r="D113" s="698">
        <f t="shared" si="37"/>
        <v>0</v>
      </c>
      <c r="E113" s="698">
        <f t="shared" si="38"/>
        <v>0</v>
      </c>
      <c r="F113" s="721"/>
      <c r="G113" s="721"/>
      <c r="H113" s="698">
        <f t="shared" si="39"/>
        <v>0</v>
      </c>
      <c r="I113" s="721"/>
      <c r="J113" s="721"/>
      <c r="K113" s="698">
        <f t="shared" si="40"/>
        <v>0</v>
      </c>
      <c r="L113" s="721"/>
      <c r="M113" s="721"/>
      <c r="N113" s="698">
        <f t="shared" si="41"/>
        <v>0</v>
      </c>
      <c r="O113" s="721"/>
      <c r="P113" s="698">
        <f t="shared" si="42"/>
        <v>0</v>
      </c>
      <c r="Q113" s="801"/>
      <c r="R113" s="698">
        <f t="shared" si="43"/>
        <v>0</v>
      </c>
      <c r="S113" s="735"/>
      <c r="T113" s="827"/>
      <c r="U113" s="698">
        <f t="shared" si="44"/>
        <v>0</v>
      </c>
      <c r="V113" s="735"/>
      <c r="W113" s="698">
        <f t="shared" si="45"/>
        <v>0</v>
      </c>
      <c r="X113" s="735"/>
    </row>
    <row r="114" spans="1:24" ht="15.75" thickBot="1">
      <c r="A114" s="790"/>
      <c r="B114" s="803"/>
      <c r="C114" s="790" t="s">
        <v>128</v>
      </c>
      <c r="D114" s="698">
        <f t="shared" si="37"/>
        <v>0</v>
      </c>
      <c r="E114" s="698">
        <f t="shared" si="38"/>
        <v>0</v>
      </c>
      <c r="F114" s="721"/>
      <c r="G114" s="721"/>
      <c r="H114" s="698">
        <f t="shared" si="39"/>
        <v>0</v>
      </c>
      <c r="I114" s="721"/>
      <c r="J114" s="721"/>
      <c r="K114" s="698">
        <f t="shared" si="40"/>
        <v>0</v>
      </c>
      <c r="L114" s="721"/>
      <c r="M114" s="721"/>
      <c r="N114" s="698">
        <f t="shared" si="41"/>
        <v>0</v>
      </c>
      <c r="O114" s="719"/>
      <c r="P114" s="698">
        <f t="shared" si="42"/>
        <v>0</v>
      </c>
      <c r="Q114" s="804"/>
      <c r="R114" s="698">
        <f t="shared" si="43"/>
        <v>0</v>
      </c>
      <c r="S114" s="742"/>
      <c r="T114" s="839"/>
      <c r="U114" s="698">
        <f t="shared" si="44"/>
        <v>0</v>
      </c>
      <c r="V114" s="742"/>
      <c r="W114" s="698">
        <f t="shared" si="45"/>
        <v>0</v>
      </c>
      <c r="X114" s="742"/>
    </row>
    <row r="115" spans="1:24" ht="15.75" thickBot="1">
      <c r="A115" s="840">
        <v>7</v>
      </c>
      <c r="B115" s="833" t="s">
        <v>129</v>
      </c>
      <c r="C115" s="832" t="s">
        <v>130</v>
      </c>
      <c r="D115" s="698">
        <f t="shared" si="37"/>
        <v>0</v>
      </c>
      <c r="E115" s="698">
        <f t="shared" si="38"/>
        <v>0</v>
      </c>
      <c r="F115" s="721"/>
      <c r="G115" s="721"/>
      <c r="H115" s="698">
        <f t="shared" si="39"/>
        <v>0</v>
      </c>
      <c r="I115" s="721"/>
      <c r="J115" s="721"/>
      <c r="K115" s="698">
        <f t="shared" si="40"/>
        <v>0</v>
      </c>
      <c r="L115" s="721"/>
      <c r="M115" s="721"/>
      <c r="N115" s="698">
        <f t="shared" si="41"/>
        <v>0</v>
      </c>
      <c r="O115" s="834"/>
      <c r="P115" s="698">
        <f t="shared" si="42"/>
        <v>0</v>
      </c>
      <c r="Q115" s="805"/>
      <c r="R115" s="698">
        <f t="shared" si="43"/>
        <v>0</v>
      </c>
      <c r="S115" s="782"/>
      <c r="T115" s="835"/>
      <c r="U115" s="698">
        <f t="shared" si="44"/>
        <v>0</v>
      </c>
      <c r="V115" s="782"/>
      <c r="W115" s="698">
        <f t="shared" si="45"/>
        <v>0</v>
      </c>
      <c r="X115" s="782"/>
    </row>
    <row r="116" spans="1:24" ht="15.75" thickBot="1">
      <c r="A116" s="790"/>
      <c r="B116" s="804"/>
      <c r="C116" s="790" t="s">
        <v>21</v>
      </c>
      <c r="D116" s="698">
        <f t="shared" si="37"/>
        <v>0</v>
      </c>
      <c r="E116" s="698">
        <f t="shared" si="38"/>
        <v>0</v>
      </c>
      <c r="F116" s="721"/>
      <c r="G116" s="721"/>
      <c r="H116" s="698">
        <f t="shared" si="39"/>
        <v>0</v>
      </c>
      <c r="I116" s="721"/>
      <c r="J116" s="721"/>
      <c r="K116" s="698">
        <f t="shared" si="40"/>
        <v>0</v>
      </c>
      <c r="L116" s="721"/>
      <c r="M116" s="721"/>
      <c r="N116" s="698">
        <f t="shared" si="41"/>
        <v>0</v>
      </c>
      <c r="O116" s="836"/>
      <c r="P116" s="698">
        <f t="shared" si="42"/>
        <v>0</v>
      </c>
      <c r="Q116" s="807"/>
      <c r="R116" s="698">
        <f t="shared" si="43"/>
        <v>0</v>
      </c>
      <c r="S116" s="837"/>
      <c r="T116" s="838"/>
      <c r="U116" s="698">
        <f t="shared" si="44"/>
        <v>0</v>
      </c>
      <c r="V116" s="837"/>
      <c r="W116" s="698">
        <f t="shared" si="45"/>
        <v>0</v>
      </c>
      <c r="X116" s="837"/>
    </row>
    <row r="117" spans="1:24" ht="15.75" thickBot="1">
      <c r="A117" s="841">
        <v>8</v>
      </c>
      <c r="B117" s="752" t="s">
        <v>131</v>
      </c>
      <c r="C117" s="808" t="s">
        <v>47</v>
      </c>
      <c r="D117" s="698">
        <f t="shared" si="37"/>
        <v>0</v>
      </c>
      <c r="E117" s="698">
        <f t="shared" si="38"/>
        <v>0</v>
      </c>
      <c r="F117" s="721"/>
      <c r="G117" s="721"/>
      <c r="H117" s="698">
        <f t="shared" si="39"/>
        <v>0</v>
      </c>
      <c r="I117" s="721"/>
      <c r="J117" s="721"/>
      <c r="K117" s="698">
        <f t="shared" si="40"/>
        <v>0</v>
      </c>
      <c r="L117" s="721"/>
      <c r="M117" s="721"/>
      <c r="N117" s="698">
        <f t="shared" si="41"/>
        <v>0</v>
      </c>
      <c r="O117" s="721"/>
      <c r="P117" s="698">
        <f t="shared" si="42"/>
        <v>0</v>
      </c>
      <c r="Q117" s="801"/>
      <c r="R117" s="698">
        <f t="shared" si="43"/>
        <v>0</v>
      </c>
      <c r="S117" s="735"/>
      <c r="T117" s="827"/>
      <c r="U117" s="698">
        <f t="shared" si="44"/>
        <v>0</v>
      </c>
      <c r="V117" s="735"/>
      <c r="W117" s="698">
        <f t="shared" si="45"/>
        <v>0</v>
      </c>
      <c r="X117" s="735"/>
    </row>
    <row r="118" spans="1:24" ht="15.75" thickBot="1">
      <c r="A118" s="797"/>
      <c r="B118" s="803" t="s">
        <v>132</v>
      </c>
      <c r="C118" s="790" t="s">
        <v>21</v>
      </c>
      <c r="D118" s="698">
        <f t="shared" si="37"/>
        <v>0</v>
      </c>
      <c r="E118" s="698">
        <f t="shared" si="38"/>
        <v>0</v>
      </c>
      <c r="F118" s="721"/>
      <c r="G118" s="721"/>
      <c r="H118" s="698">
        <f t="shared" si="39"/>
        <v>0</v>
      </c>
      <c r="I118" s="721"/>
      <c r="J118" s="721"/>
      <c r="K118" s="698">
        <f t="shared" si="40"/>
        <v>0</v>
      </c>
      <c r="L118" s="721"/>
      <c r="M118" s="721"/>
      <c r="N118" s="698">
        <f t="shared" si="41"/>
        <v>0</v>
      </c>
      <c r="O118" s="836"/>
      <c r="P118" s="698">
        <f t="shared" si="42"/>
        <v>0</v>
      </c>
      <c r="Q118" s="807"/>
      <c r="R118" s="698">
        <f t="shared" si="43"/>
        <v>0</v>
      </c>
      <c r="S118" s="837"/>
      <c r="T118" s="838"/>
      <c r="U118" s="698">
        <f t="shared" si="44"/>
        <v>0</v>
      </c>
      <c r="V118" s="837"/>
      <c r="W118" s="698">
        <f t="shared" si="45"/>
        <v>0</v>
      </c>
      <c r="X118" s="837"/>
    </row>
    <row r="119" spans="1:24" ht="15.75" thickBot="1">
      <c r="A119" s="841">
        <v>9</v>
      </c>
      <c r="B119" s="752" t="s">
        <v>133</v>
      </c>
      <c r="C119" s="808" t="s">
        <v>134</v>
      </c>
      <c r="D119" s="698">
        <f t="shared" si="37"/>
        <v>0</v>
      </c>
      <c r="E119" s="698">
        <f t="shared" si="38"/>
        <v>0</v>
      </c>
      <c r="F119" s="721"/>
      <c r="G119" s="721"/>
      <c r="H119" s="698">
        <f t="shared" si="39"/>
        <v>0</v>
      </c>
      <c r="I119" s="721"/>
      <c r="J119" s="721"/>
      <c r="K119" s="698">
        <f t="shared" si="40"/>
        <v>0</v>
      </c>
      <c r="L119" s="721"/>
      <c r="M119" s="721"/>
      <c r="N119" s="698">
        <f t="shared" si="41"/>
        <v>0</v>
      </c>
      <c r="O119" s="721"/>
      <c r="P119" s="698">
        <f t="shared" si="42"/>
        <v>0</v>
      </c>
      <c r="Q119" s="801"/>
      <c r="R119" s="698">
        <f t="shared" si="43"/>
        <v>0</v>
      </c>
      <c r="S119" s="735"/>
      <c r="T119" s="827"/>
      <c r="U119" s="698">
        <f t="shared" si="44"/>
        <v>0</v>
      </c>
      <c r="V119" s="735"/>
      <c r="W119" s="698">
        <f t="shared" si="45"/>
        <v>0</v>
      </c>
      <c r="X119" s="735"/>
    </row>
    <row r="120" spans="1:24" ht="15.75" thickBot="1">
      <c r="A120" s="790"/>
      <c r="B120" s="803" t="s">
        <v>135</v>
      </c>
      <c r="C120" s="790" t="s">
        <v>21</v>
      </c>
      <c r="D120" s="698">
        <f t="shared" si="37"/>
        <v>0</v>
      </c>
      <c r="E120" s="698">
        <f t="shared" si="38"/>
        <v>0</v>
      </c>
      <c r="F120" s="721"/>
      <c r="G120" s="721"/>
      <c r="H120" s="698">
        <f t="shared" si="39"/>
        <v>0</v>
      </c>
      <c r="I120" s="721"/>
      <c r="J120" s="721"/>
      <c r="K120" s="698">
        <f t="shared" si="40"/>
        <v>0</v>
      </c>
      <c r="L120" s="721"/>
      <c r="M120" s="721"/>
      <c r="N120" s="698">
        <f t="shared" si="41"/>
        <v>0</v>
      </c>
      <c r="O120" s="836"/>
      <c r="P120" s="698">
        <f t="shared" si="42"/>
        <v>0</v>
      </c>
      <c r="Q120" s="807"/>
      <c r="R120" s="698">
        <f t="shared" si="43"/>
        <v>0</v>
      </c>
      <c r="S120" s="837"/>
      <c r="T120" s="838"/>
      <c r="U120" s="698">
        <f t="shared" si="44"/>
        <v>0</v>
      </c>
      <c r="V120" s="837"/>
      <c r="W120" s="698">
        <f t="shared" si="45"/>
        <v>0</v>
      </c>
      <c r="X120" s="837"/>
    </row>
    <row r="121" spans="1:24" ht="15.75" thickBot="1">
      <c r="A121" s="808" t="s">
        <v>136</v>
      </c>
      <c r="B121" s="792" t="s">
        <v>137</v>
      </c>
      <c r="C121" s="801" t="s">
        <v>21</v>
      </c>
      <c r="D121" s="698">
        <f t="shared" si="37"/>
        <v>0</v>
      </c>
      <c r="E121" s="698">
        <f t="shared" si="38"/>
        <v>0</v>
      </c>
      <c r="F121" s="721"/>
      <c r="G121" s="721"/>
      <c r="H121" s="698">
        <f t="shared" si="39"/>
        <v>0</v>
      </c>
      <c r="I121" s="721">
        <v>0</v>
      </c>
      <c r="J121" s="721"/>
      <c r="K121" s="698">
        <f t="shared" si="40"/>
        <v>0</v>
      </c>
      <c r="L121" s="721"/>
      <c r="M121" s="721"/>
      <c r="N121" s="698">
        <f t="shared" si="41"/>
        <v>0</v>
      </c>
      <c r="O121" s="721"/>
      <c r="P121" s="698">
        <f t="shared" si="42"/>
        <v>0</v>
      </c>
      <c r="Q121" s="842"/>
      <c r="R121" s="698">
        <f t="shared" si="43"/>
        <v>0</v>
      </c>
      <c r="S121" s="735"/>
      <c r="T121" s="843"/>
      <c r="U121" s="698">
        <f t="shared" si="44"/>
        <v>0</v>
      </c>
      <c r="V121" s="722"/>
      <c r="W121" s="698">
        <f t="shared" si="45"/>
        <v>0</v>
      </c>
      <c r="X121" s="722"/>
    </row>
    <row r="122" spans="1:24" ht="15.75" thickBot="1">
      <c r="A122" s="786" t="s">
        <v>138</v>
      </c>
      <c r="B122" s="783" t="s">
        <v>139</v>
      </c>
      <c r="C122" s="832" t="s">
        <v>21</v>
      </c>
      <c r="D122" s="698">
        <f t="shared" si="37"/>
        <v>0</v>
      </c>
      <c r="E122" s="698">
        <f t="shared" si="38"/>
        <v>0</v>
      </c>
      <c r="F122" s="721"/>
      <c r="G122" s="721"/>
      <c r="H122" s="698">
        <f t="shared" si="39"/>
        <v>0</v>
      </c>
      <c r="I122" s="721"/>
      <c r="J122" s="721"/>
      <c r="K122" s="698">
        <f t="shared" si="40"/>
        <v>0</v>
      </c>
      <c r="L122" s="721"/>
      <c r="M122" s="721"/>
      <c r="N122" s="698">
        <f t="shared" si="41"/>
        <v>0</v>
      </c>
      <c r="O122" s="834"/>
      <c r="P122" s="698">
        <f t="shared" si="42"/>
        <v>0</v>
      </c>
      <c r="Q122" s="844"/>
      <c r="R122" s="698">
        <f t="shared" si="43"/>
        <v>0</v>
      </c>
      <c r="S122" s="782"/>
      <c r="T122" s="834"/>
      <c r="U122" s="698">
        <f t="shared" si="44"/>
        <v>0</v>
      </c>
      <c r="V122" s="694"/>
      <c r="W122" s="698">
        <f t="shared" si="45"/>
        <v>0</v>
      </c>
      <c r="X122" s="694"/>
    </row>
    <row r="123" spans="1:24" ht="15.75" thickBot="1">
      <c r="A123" s="845" t="s">
        <v>140</v>
      </c>
      <c r="B123" s="846" t="s">
        <v>141</v>
      </c>
      <c r="C123" s="845" t="s">
        <v>21</v>
      </c>
      <c r="D123" s="698">
        <f t="shared" si="37"/>
        <v>0</v>
      </c>
      <c r="E123" s="698">
        <f t="shared" si="38"/>
        <v>0</v>
      </c>
      <c r="F123" s="721"/>
      <c r="G123" s="721"/>
      <c r="H123" s="698">
        <f t="shared" si="39"/>
        <v>0</v>
      </c>
      <c r="I123" s="721"/>
      <c r="J123" s="721"/>
      <c r="K123" s="698">
        <f t="shared" si="40"/>
        <v>0</v>
      </c>
      <c r="L123" s="721"/>
      <c r="M123" s="721"/>
      <c r="N123" s="698">
        <f t="shared" si="41"/>
        <v>0</v>
      </c>
      <c r="O123" s="736"/>
      <c r="P123" s="698">
        <f t="shared" si="42"/>
        <v>0</v>
      </c>
      <c r="Q123" s="744"/>
      <c r="R123" s="698">
        <f t="shared" si="43"/>
        <v>0</v>
      </c>
      <c r="S123" s="760"/>
      <c r="T123" s="736"/>
      <c r="U123" s="698">
        <f t="shared" si="44"/>
        <v>0</v>
      </c>
      <c r="V123" s="737"/>
      <c r="W123" s="698">
        <f t="shared" si="45"/>
        <v>0</v>
      </c>
      <c r="X123" s="737"/>
    </row>
    <row r="124" spans="1:24" ht="15.75" thickBot="1">
      <c r="A124" s="816" t="s">
        <v>142</v>
      </c>
      <c r="B124" s="847" t="s">
        <v>143</v>
      </c>
      <c r="C124" s="816" t="s">
        <v>21</v>
      </c>
      <c r="D124" s="698">
        <f t="shared" si="37"/>
        <v>0</v>
      </c>
      <c r="E124" s="698">
        <f t="shared" si="38"/>
        <v>0</v>
      </c>
      <c r="F124" s="721"/>
      <c r="G124" s="721"/>
      <c r="H124" s="698">
        <f t="shared" si="39"/>
        <v>0</v>
      </c>
      <c r="I124" s="721"/>
      <c r="J124" s="721"/>
      <c r="K124" s="698">
        <f t="shared" si="40"/>
        <v>0</v>
      </c>
      <c r="L124" s="721"/>
      <c r="M124" s="721"/>
      <c r="N124" s="698">
        <f t="shared" si="41"/>
        <v>0</v>
      </c>
      <c r="O124" s="817"/>
      <c r="P124" s="698">
        <f t="shared" si="42"/>
        <v>0</v>
      </c>
      <c r="Q124" s="848"/>
      <c r="R124" s="698">
        <f t="shared" si="43"/>
        <v>0</v>
      </c>
      <c r="S124" s="849"/>
      <c r="T124" s="817"/>
      <c r="U124" s="698">
        <f t="shared" si="44"/>
        <v>0</v>
      </c>
      <c r="V124" s="686"/>
      <c r="W124" s="698">
        <f t="shared" si="45"/>
        <v>0</v>
      </c>
      <c r="X124" s="686"/>
    </row>
    <row r="125" spans="1:24" ht="15.75" thickBot="1">
      <c r="A125" s="731">
        <v>13</v>
      </c>
      <c r="B125" s="846" t="s">
        <v>144</v>
      </c>
      <c r="C125" s="845" t="s">
        <v>21</v>
      </c>
      <c r="D125" s="698">
        <f t="shared" si="37"/>
        <v>0</v>
      </c>
      <c r="E125" s="698">
        <f t="shared" si="38"/>
        <v>0</v>
      </c>
      <c r="F125" s="721"/>
      <c r="G125" s="721"/>
      <c r="H125" s="698">
        <f t="shared" si="39"/>
        <v>0</v>
      </c>
      <c r="I125" s="721"/>
      <c r="J125" s="721"/>
      <c r="K125" s="698">
        <f t="shared" si="40"/>
        <v>0</v>
      </c>
      <c r="L125" s="721"/>
      <c r="M125" s="721"/>
      <c r="N125" s="698">
        <f t="shared" si="41"/>
        <v>0</v>
      </c>
      <c r="O125" s="736"/>
      <c r="P125" s="698">
        <f t="shared" si="42"/>
        <v>0</v>
      </c>
      <c r="Q125" s="744"/>
      <c r="R125" s="698">
        <f t="shared" si="43"/>
        <v>0</v>
      </c>
      <c r="S125" s="760"/>
      <c r="T125" s="736"/>
      <c r="U125" s="698">
        <f t="shared" si="44"/>
        <v>0</v>
      </c>
      <c r="V125" s="737"/>
      <c r="W125" s="698">
        <f t="shared" si="45"/>
        <v>0</v>
      </c>
      <c r="X125" s="737"/>
    </row>
    <row r="126" spans="1:24" ht="15.75" thickBot="1">
      <c r="A126" s="731">
        <v>14</v>
      </c>
      <c r="B126" s="850" t="s">
        <v>145</v>
      </c>
      <c r="C126" s="845" t="s">
        <v>21</v>
      </c>
      <c r="D126" s="698">
        <f t="shared" si="37"/>
        <v>0</v>
      </c>
      <c r="E126" s="698">
        <f t="shared" si="38"/>
        <v>0</v>
      </c>
      <c r="F126" s="721"/>
      <c r="G126" s="721"/>
      <c r="H126" s="698">
        <f t="shared" si="39"/>
        <v>0</v>
      </c>
      <c r="I126" s="721">
        <v>0</v>
      </c>
      <c r="J126" s="721"/>
      <c r="K126" s="698">
        <f t="shared" si="40"/>
        <v>0</v>
      </c>
      <c r="L126" s="721"/>
      <c r="M126" s="721"/>
      <c r="N126" s="698">
        <f t="shared" si="41"/>
        <v>0</v>
      </c>
      <c r="O126" s="736"/>
      <c r="P126" s="698">
        <f t="shared" si="42"/>
        <v>0</v>
      </c>
      <c r="Q126" s="744"/>
      <c r="R126" s="698">
        <f t="shared" si="43"/>
        <v>0</v>
      </c>
      <c r="S126" s="760"/>
      <c r="T126" s="736"/>
      <c r="U126" s="698">
        <f t="shared" si="44"/>
        <v>0</v>
      </c>
      <c r="V126" s="737"/>
      <c r="W126" s="698">
        <f t="shared" si="45"/>
        <v>0</v>
      </c>
      <c r="X126" s="737"/>
    </row>
    <row r="127" spans="1:24" ht="15.75" thickBot="1">
      <c r="A127" s="816" t="s">
        <v>146</v>
      </c>
      <c r="B127" s="847" t="s">
        <v>147</v>
      </c>
      <c r="C127" s="816" t="s">
        <v>21</v>
      </c>
      <c r="D127" s="698">
        <f t="shared" si="37"/>
        <v>0</v>
      </c>
      <c r="E127" s="698">
        <f t="shared" si="38"/>
        <v>0</v>
      </c>
      <c r="F127" s="721"/>
      <c r="G127" s="721"/>
      <c r="H127" s="698">
        <f t="shared" si="39"/>
        <v>0</v>
      </c>
      <c r="I127" s="721">
        <v>0</v>
      </c>
      <c r="J127" s="721"/>
      <c r="K127" s="698">
        <f t="shared" si="40"/>
        <v>0</v>
      </c>
      <c r="L127" s="721"/>
      <c r="M127" s="721"/>
      <c r="N127" s="698">
        <f t="shared" si="41"/>
        <v>0</v>
      </c>
      <c r="O127" s="817"/>
      <c r="P127" s="698">
        <f t="shared" si="42"/>
        <v>0</v>
      </c>
      <c r="Q127" s="848"/>
      <c r="R127" s="698">
        <f t="shared" si="43"/>
        <v>0</v>
      </c>
      <c r="S127" s="849"/>
      <c r="T127" s="817"/>
      <c r="U127" s="698">
        <f t="shared" si="44"/>
        <v>0</v>
      </c>
      <c r="V127" s="686"/>
      <c r="W127" s="698">
        <f t="shared" si="45"/>
        <v>0</v>
      </c>
      <c r="X127" s="686"/>
    </row>
    <row r="128" spans="1:24">
      <c r="A128" s="841">
        <v>16</v>
      </c>
      <c r="B128" s="752" t="s">
        <v>148</v>
      </c>
      <c r="C128" s="808" t="s">
        <v>21</v>
      </c>
      <c r="D128" s="698">
        <f t="shared" si="37"/>
        <v>0</v>
      </c>
      <c r="E128" s="698">
        <f t="shared" si="38"/>
        <v>0</v>
      </c>
      <c r="F128" s="721"/>
      <c r="G128" s="721"/>
      <c r="H128" s="698">
        <f t="shared" si="39"/>
        <v>0</v>
      </c>
      <c r="I128" s="721">
        <v>0</v>
      </c>
      <c r="J128" s="721"/>
      <c r="K128" s="698">
        <f t="shared" si="40"/>
        <v>0</v>
      </c>
      <c r="L128" s="721"/>
      <c r="M128" s="721"/>
      <c r="N128" s="698">
        <f t="shared" si="41"/>
        <v>0</v>
      </c>
      <c r="O128" s="722"/>
      <c r="P128" s="698">
        <f t="shared" si="42"/>
        <v>0</v>
      </c>
      <c r="Q128" s="851"/>
      <c r="R128" s="698">
        <f t="shared" si="43"/>
        <v>0</v>
      </c>
      <c r="S128" s="735"/>
      <c r="T128" s="722"/>
      <c r="U128" s="698">
        <f t="shared" si="44"/>
        <v>0</v>
      </c>
      <c r="V128" s="722"/>
      <c r="W128" s="698">
        <f t="shared" si="45"/>
        <v>0</v>
      </c>
      <c r="X128" s="722"/>
    </row>
    <row r="129" spans="1:24" ht="15.75" thickBot="1">
      <c r="A129" s="786" t="s">
        <v>149</v>
      </c>
      <c r="B129" s="852" t="s">
        <v>150</v>
      </c>
      <c r="C129" s="786" t="s">
        <v>128</v>
      </c>
      <c r="D129" s="698">
        <f>D131+D133+D135+D137</f>
        <v>0</v>
      </c>
      <c r="E129" s="698">
        <f>E131+E133+E135+E137</f>
        <v>0</v>
      </c>
      <c r="F129" s="698">
        <f>F131+F133+F135+F137</f>
        <v>0</v>
      </c>
      <c r="G129" s="698">
        <f>G131+G133+G135+G137</f>
        <v>0</v>
      </c>
      <c r="H129" s="698">
        <f t="shared" si="39"/>
        <v>0</v>
      </c>
      <c r="I129" s="698">
        <f>I131+I133+I135+I137</f>
        <v>0</v>
      </c>
      <c r="J129" s="698">
        <f>J131+J133+J135+J137</f>
        <v>0</v>
      </c>
      <c r="K129" s="698">
        <f t="shared" si="40"/>
        <v>0</v>
      </c>
      <c r="L129" s="698">
        <f>L131+L133+L135+L137</f>
        <v>0</v>
      </c>
      <c r="M129" s="698">
        <f>M131+M133+M135+M137</f>
        <v>0</v>
      </c>
      <c r="N129" s="698">
        <f t="shared" si="41"/>
        <v>0</v>
      </c>
      <c r="O129" s="698">
        <f>O131+O133+O135+O137</f>
        <v>0</v>
      </c>
      <c r="P129" s="698">
        <f t="shared" si="42"/>
        <v>0</v>
      </c>
      <c r="Q129" s="698">
        <f>Q131+Q133+Q135+Q137</f>
        <v>0</v>
      </c>
      <c r="R129" s="698">
        <f t="shared" si="43"/>
        <v>0</v>
      </c>
      <c r="S129" s="698">
        <f>S131+S133+S135+S137</f>
        <v>0</v>
      </c>
      <c r="T129" s="698">
        <f>T131+T133+T135+T137</f>
        <v>0</v>
      </c>
      <c r="U129" s="698">
        <f t="shared" si="44"/>
        <v>0</v>
      </c>
      <c r="V129" s="698">
        <f>V131+V133+V135+V137</f>
        <v>0</v>
      </c>
      <c r="W129" s="698">
        <f t="shared" si="45"/>
        <v>0</v>
      </c>
      <c r="X129" s="698">
        <f>X131+X133+X135+X137</f>
        <v>0</v>
      </c>
    </row>
    <row r="130" spans="1:24" ht="15.75" thickBot="1">
      <c r="A130" s="786" t="s">
        <v>151</v>
      </c>
      <c r="B130" s="852" t="s">
        <v>152</v>
      </c>
      <c r="C130" s="786" t="s">
        <v>47</v>
      </c>
      <c r="D130" s="698">
        <f t="shared" ref="D130:D139" si="46">E130+H130+K130+N130+P130+R130+U130+W130</f>
        <v>0</v>
      </c>
      <c r="E130" s="698">
        <f t="shared" ref="E130:E139" si="47">F130+G130</f>
        <v>0</v>
      </c>
      <c r="F130" s="721"/>
      <c r="G130" s="721"/>
      <c r="H130" s="698">
        <f t="shared" si="39"/>
        <v>0</v>
      </c>
      <c r="I130" s="721"/>
      <c r="J130" s="721"/>
      <c r="K130" s="698">
        <f t="shared" si="40"/>
        <v>0</v>
      </c>
      <c r="L130" s="721"/>
      <c r="M130" s="721"/>
      <c r="N130" s="698">
        <f t="shared" si="41"/>
        <v>0</v>
      </c>
      <c r="O130" s="834"/>
      <c r="P130" s="698">
        <f t="shared" si="42"/>
        <v>0</v>
      </c>
      <c r="Q130" s="844"/>
      <c r="R130" s="698">
        <f t="shared" si="43"/>
        <v>0</v>
      </c>
      <c r="S130" s="782"/>
      <c r="T130" s="834"/>
      <c r="U130" s="698">
        <f t="shared" si="44"/>
        <v>0</v>
      </c>
      <c r="V130" s="694"/>
      <c r="W130" s="698">
        <f t="shared" si="45"/>
        <v>0</v>
      </c>
      <c r="X130" s="694"/>
    </row>
    <row r="131" spans="1:24" ht="15.75" thickBot="1">
      <c r="A131" s="786"/>
      <c r="B131" s="852"/>
      <c r="C131" s="786" t="s">
        <v>21</v>
      </c>
      <c r="D131" s="698">
        <f t="shared" si="46"/>
        <v>0</v>
      </c>
      <c r="E131" s="698">
        <f t="shared" si="47"/>
        <v>0</v>
      </c>
      <c r="F131" s="721"/>
      <c r="G131" s="721"/>
      <c r="H131" s="698">
        <f t="shared" si="39"/>
        <v>0</v>
      </c>
      <c r="I131" s="721"/>
      <c r="J131" s="721"/>
      <c r="K131" s="698">
        <f t="shared" si="40"/>
        <v>0</v>
      </c>
      <c r="L131" s="721"/>
      <c r="M131" s="721"/>
      <c r="N131" s="698">
        <f t="shared" si="41"/>
        <v>0</v>
      </c>
      <c r="O131" s="787"/>
      <c r="P131" s="698">
        <f t="shared" si="42"/>
        <v>0</v>
      </c>
      <c r="Q131" s="853"/>
      <c r="R131" s="698">
        <f t="shared" si="43"/>
        <v>0</v>
      </c>
      <c r="S131" s="714"/>
      <c r="T131" s="787"/>
      <c r="U131" s="698">
        <f t="shared" si="44"/>
        <v>0</v>
      </c>
      <c r="V131" s="698"/>
      <c r="W131" s="698">
        <f t="shared" si="45"/>
        <v>0</v>
      </c>
      <c r="X131" s="698"/>
    </row>
    <row r="132" spans="1:24" ht="15.75" thickBot="1">
      <c r="A132" s="786" t="s">
        <v>153</v>
      </c>
      <c r="B132" s="852" t="s">
        <v>154</v>
      </c>
      <c r="C132" s="786" t="s">
        <v>47</v>
      </c>
      <c r="D132" s="698">
        <f t="shared" si="46"/>
        <v>0</v>
      </c>
      <c r="E132" s="698">
        <f t="shared" si="47"/>
        <v>0</v>
      </c>
      <c r="F132" s="721"/>
      <c r="G132" s="721"/>
      <c r="H132" s="698">
        <f t="shared" si="39"/>
        <v>0</v>
      </c>
      <c r="I132" s="721"/>
      <c r="J132" s="721"/>
      <c r="K132" s="698">
        <f t="shared" si="40"/>
        <v>0</v>
      </c>
      <c r="L132" s="721"/>
      <c r="M132" s="721"/>
      <c r="N132" s="698">
        <f t="shared" si="41"/>
        <v>0</v>
      </c>
      <c r="O132" s="787"/>
      <c r="P132" s="698">
        <f t="shared" si="42"/>
        <v>0</v>
      </c>
      <c r="Q132" s="853"/>
      <c r="R132" s="698">
        <f t="shared" si="43"/>
        <v>0</v>
      </c>
      <c r="S132" s="714"/>
      <c r="T132" s="787"/>
      <c r="U132" s="698">
        <f t="shared" si="44"/>
        <v>0</v>
      </c>
      <c r="V132" s="698"/>
      <c r="W132" s="698">
        <f t="shared" si="45"/>
        <v>0</v>
      </c>
      <c r="X132" s="698"/>
    </row>
    <row r="133" spans="1:24" ht="15.75" thickBot="1">
      <c r="A133" s="786"/>
      <c r="B133" s="852"/>
      <c r="C133" s="786" t="s">
        <v>155</v>
      </c>
      <c r="D133" s="698">
        <f t="shared" si="46"/>
        <v>0</v>
      </c>
      <c r="E133" s="698">
        <f t="shared" si="47"/>
        <v>0</v>
      </c>
      <c r="F133" s="721"/>
      <c r="G133" s="721"/>
      <c r="H133" s="698">
        <f t="shared" si="39"/>
        <v>0</v>
      </c>
      <c r="I133" s="721"/>
      <c r="J133" s="721"/>
      <c r="K133" s="698">
        <f t="shared" si="40"/>
        <v>0</v>
      </c>
      <c r="L133" s="721"/>
      <c r="M133" s="721"/>
      <c r="N133" s="698">
        <f t="shared" si="41"/>
        <v>0</v>
      </c>
      <c r="O133" s="787"/>
      <c r="P133" s="698">
        <f t="shared" si="42"/>
        <v>0</v>
      </c>
      <c r="Q133" s="853"/>
      <c r="R133" s="698">
        <f t="shared" si="43"/>
        <v>0</v>
      </c>
      <c r="S133" s="714"/>
      <c r="T133" s="787"/>
      <c r="U133" s="698">
        <f t="shared" si="44"/>
        <v>0</v>
      </c>
      <c r="V133" s="698"/>
      <c r="W133" s="698">
        <f t="shared" si="45"/>
        <v>0</v>
      </c>
      <c r="X133" s="698"/>
    </row>
    <row r="134" spans="1:24" ht="15.75" thickBot="1">
      <c r="A134" s="786" t="s">
        <v>156</v>
      </c>
      <c r="B134" s="852" t="s">
        <v>157</v>
      </c>
      <c r="C134" s="786" t="s">
        <v>47</v>
      </c>
      <c r="D134" s="698">
        <f t="shared" si="46"/>
        <v>0</v>
      </c>
      <c r="E134" s="698">
        <f t="shared" si="47"/>
        <v>0</v>
      </c>
      <c r="F134" s="721"/>
      <c r="G134" s="721"/>
      <c r="H134" s="698">
        <f t="shared" si="39"/>
        <v>0</v>
      </c>
      <c r="I134" s="721"/>
      <c r="J134" s="721"/>
      <c r="K134" s="698">
        <f t="shared" si="40"/>
        <v>0</v>
      </c>
      <c r="L134" s="721"/>
      <c r="M134" s="721"/>
      <c r="N134" s="698">
        <f t="shared" si="41"/>
        <v>0</v>
      </c>
      <c r="O134" s="787"/>
      <c r="P134" s="698">
        <f t="shared" si="42"/>
        <v>0</v>
      </c>
      <c r="Q134" s="853"/>
      <c r="R134" s="698">
        <f t="shared" si="43"/>
        <v>0</v>
      </c>
      <c r="S134" s="714"/>
      <c r="T134" s="787"/>
      <c r="U134" s="698">
        <f t="shared" si="44"/>
        <v>0</v>
      </c>
      <c r="V134" s="698"/>
      <c r="W134" s="698">
        <f t="shared" si="45"/>
        <v>0</v>
      </c>
      <c r="X134" s="698"/>
    </row>
    <row r="135" spans="1:24" ht="15.75" thickBot="1">
      <c r="A135" s="786"/>
      <c r="B135" s="786" t="s">
        <v>158</v>
      </c>
      <c r="C135" s="786" t="s">
        <v>21</v>
      </c>
      <c r="D135" s="698">
        <f t="shared" si="46"/>
        <v>0</v>
      </c>
      <c r="E135" s="698">
        <f t="shared" si="47"/>
        <v>0</v>
      </c>
      <c r="F135" s="721"/>
      <c r="G135" s="721"/>
      <c r="H135" s="698">
        <f t="shared" si="39"/>
        <v>0</v>
      </c>
      <c r="I135" s="721"/>
      <c r="J135" s="721"/>
      <c r="K135" s="698">
        <f t="shared" si="40"/>
        <v>0</v>
      </c>
      <c r="L135" s="721"/>
      <c r="M135" s="721"/>
      <c r="N135" s="698">
        <f t="shared" si="41"/>
        <v>0</v>
      </c>
      <c r="O135" s="787"/>
      <c r="P135" s="698">
        <f t="shared" si="42"/>
        <v>0</v>
      </c>
      <c r="Q135" s="853"/>
      <c r="R135" s="698">
        <f t="shared" si="43"/>
        <v>0</v>
      </c>
      <c r="S135" s="714"/>
      <c r="T135" s="787"/>
      <c r="U135" s="698">
        <f t="shared" si="44"/>
        <v>0</v>
      </c>
      <c r="V135" s="698"/>
      <c r="W135" s="698">
        <f t="shared" si="45"/>
        <v>0</v>
      </c>
      <c r="X135" s="698"/>
    </row>
    <row r="136" spans="1:24" ht="15.75" thickBot="1">
      <c r="A136" s="786" t="s">
        <v>159</v>
      </c>
      <c r="B136" s="805" t="s">
        <v>160</v>
      </c>
      <c r="C136" s="786" t="s">
        <v>47</v>
      </c>
      <c r="D136" s="698">
        <f t="shared" si="46"/>
        <v>0</v>
      </c>
      <c r="E136" s="698">
        <f t="shared" si="47"/>
        <v>0</v>
      </c>
      <c r="F136" s="721"/>
      <c r="G136" s="721"/>
      <c r="H136" s="698">
        <f t="shared" si="39"/>
        <v>0</v>
      </c>
      <c r="I136" s="721"/>
      <c r="J136" s="721"/>
      <c r="K136" s="698">
        <f t="shared" si="40"/>
        <v>0</v>
      </c>
      <c r="L136" s="721"/>
      <c r="M136" s="721"/>
      <c r="N136" s="698">
        <f t="shared" si="41"/>
        <v>0</v>
      </c>
      <c r="O136" s="787"/>
      <c r="P136" s="698">
        <f t="shared" si="42"/>
        <v>0</v>
      </c>
      <c r="Q136" s="853"/>
      <c r="R136" s="698">
        <f t="shared" si="43"/>
        <v>0</v>
      </c>
      <c r="S136" s="714"/>
      <c r="T136" s="787"/>
      <c r="U136" s="698">
        <f t="shared" si="44"/>
        <v>0</v>
      </c>
      <c r="V136" s="698"/>
      <c r="W136" s="698">
        <f t="shared" si="45"/>
        <v>0</v>
      </c>
      <c r="X136" s="698"/>
    </row>
    <row r="137" spans="1:24" ht="15.75" thickBot="1">
      <c r="A137" s="828"/>
      <c r="B137" s="854"/>
      <c r="C137" s="828" t="s">
        <v>21</v>
      </c>
      <c r="D137" s="726">
        <f t="shared" si="46"/>
        <v>0</v>
      </c>
      <c r="E137" s="726">
        <f t="shared" si="47"/>
        <v>0</v>
      </c>
      <c r="F137" s="736"/>
      <c r="G137" s="736"/>
      <c r="H137" s="726">
        <f t="shared" si="39"/>
        <v>0</v>
      </c>
      <c r="I137" s="736"/>
      <c r="J137" s="736"/>
      <c r="K137" s="698">
        <f t="shared" si="40"/>
        <v>0</v>
      </c>
      <c r="L137" s="721"/>
      <c r="M137" s="721"/>
      <c r="N137" s="698">
        <f t="shared" si="41"/>
        <v>0</v>
      </c>
      <c r="O137" s="730"/>
      <c r="P137" s="698">
        <f t="shared" si="42"/>
        <v>0</v>
      </c>
      <c r="Q137" s="855"/>
      <c r="R137" s="698">
        <f t="shared" si="43"/>
        <v>0</v>
      </c>
      <c r="S137" s="729"/>
      <c r="T137" s="730"/>
      <c r="U137" s="698">
        <f t="shared" si="44"/>
        <v>0</v>
      </c>
      <c r="V137" s="726"/>
      <c r="W137" s="698">
        <f t="shared" si="45"/>
        <v>0</v>
      </c>
      <c r="X137" s="726"/>
    </row>
    <row r="138" spans="1:24" ht="15.75" thickBot="1">
      <c r="A138" s="856" t="s">
        <v>161</v>
      </c>
      <c r="B138" s="856" t="s">
        <v>162</v>
      </c>
      <c r="C138" s="856" t="s">
        <v>21</v>
      </c>
      <c r="D138" s="781">
        <f t="shared" si="46"/>
        <v>0</v>
      </c>
      <c r="E138" s="781">
        <f t="shared" si="47"/>
        <v>0</v>
      </c>
      <c r="F138" s="857"/>
      <c r="G138" s="857"/>
      <c r="H138" s="781">
        <f t="shared" si="39"/>
        <v>0</v>
      </c>
      <c r="I138" s="857"/>
      <c r="J138" s="857"/>
      <c r="K138" s="714">
        <f t="shared" si="40"/>
        <v>0</v>
      </c>
      <c r="L138" s="721"/>
      <c r="M138" s="721"/>
      <c r="N138" s="698">
        <f t="shared" si="41"/>
        <v>0</v>
      </c>
      <c r="O138" s="808"/>
      <c r="P138" s="698">
        <f t="shared" si="42"/>
        <v>0</v>
      </c>
      <c r="Q138" s="801"/>
      <c r="R138" s="698">
        <f t="shared" si="43"/>
        <v>0</v>
      </c>
      <c r="S138" s="752"/>
      <c r="T138" s="808"/>
      <c r="U138" s="698">
        <f t="shared" si="44"/>
        <v>0</v>
      </c>
      <c r="V138" s="792"/>
      <c r="W138" s="698">
        <f t="shared" si="45"/>
        <v>0</v>
      </c>
      <c r="X138" s="792"/>
    </row>
    <row r="139" spans="1:24" ht="15.75" thickBot="1">
      <c r="A139" s="856" t="s">
        <v>163</v>
      </c>
      <c r="B139" s="856" t="s">
        <v>164</v>
      </c>
      <c r="C139" s="856" t="s">
        <v>21</v>
      </c>
      <c r="D139" s="781">
        <f t="shared" si="46"/>
        <v>0</v>
      </c>
      <c r="E139" s="781">
        <f t="shared" si="47"/>
        <v>0</v>
      </c>
      <c r="F139" s="857"/>
      <c r="G139" s="857"/>
      <c r="H139" s="781">
        <f t="shared" si="39"/>
        <v>0</v>
      </c>
      <c r="I139" s="857"/>
      <c r="J139" s="857"/>
      <c r="K139" s="714">
        <f t="shared" si="40"/>
        <v>0</v>
      </c>
      <c r="L139" s="721"/>
      <c r="M139" s="721"/>
      <c r="N139" s="698">
        <f t="shared" si="41"/>
        <v>0</v>
      </c>
      <c r="O139" s="790"/>
      <c r="P139" s="698">
        <f t="shared" si="42"/>
        <v>0</v>
      </c>
      <c r="Q139" s="804"/>
      <c r="R139" s="698">
        <f t="shared" si="43"/>
        <v>0</v>
      </c>
      <c r="S139" s="803"/>
      <c r="T139" s="790"/>
      <c r="U139" s="698">
        <f t="shared" si="44"/>
        <v>0</v>
      </c>
      <c r="V139" s="797"/>
      <c r="W139" s="698">
        <f t="shared" si="45"/>
        <v>0</v>
      </c>
      <c r="X139" s="797"/>
    </row>
    <row r="140" spans="1:24">
      <c r="A140" s="856" t="s">
        <v>165</v>
      </c>
      <c r="B140" s="858" t="s">
        <v>166</v>
      </c>
      <c r="C140" s="856" t="s">
        <v>47</v>
      </c>
      <c r="D140" s="781">
        <f>H140+K140</f>
        <v>550</v>
      </c>
      <c r="E140" s="781">
        <f t="shared" ref="E140:G141" si="48">E142+E144+E146+E148+E150+E152+E154+E156</f>
        <v>0</v>
      </c>
      <c r="F140" s="781">
        <f t="shared" si="48"/>
        <v>0</v>
      </c>
      <c r="G140" s="781">
        <f t="shared" si="48"/>
        <v>0</v>
      </c>
      <c r="H140" s="857">
        <f>I140</f>
        <v>417</v>
      </c>
      <c r="I140" s="857">
        <v>417</v>
      </c>
      <c r="J140" s="781">
        <f>J142+J144+J146+J148+J150+J152+J154+J156</f>
        <v>0</v>
      </c>
      <c r="K140" s="694">
        <v>133</v>
      </c>
      <c r="L140" s="694">
        <v>133</v>
      </c>
      <c r="M140" s="694"/>
      <c r="N140" s="694">
        <f t="shared" ref="N140:X141" si="49">N142+N144+N146+N148+N150+N152+N154+N156</f>
        <v>0</v>
      </c>
      <c r="O140" s="694">
        <f t="shared" si="49"/>
        <v>0</v>
      </c>
      <c r="P140" s="694">
        <f t="shared" si="49"/>
        <v>0</v>
      </c>
      <c r="Q140" s="694">
        <f t="shared" si="49"/>
        <v>0</v>
      </c>
      <c r="R140" s="694">
        <f t="shared" si="49"/>
        <v>0</v>
      </c>
      <c r="S140" s="694">
        <f t="shared" si="49"/>
        <v>0</v>
      </c>
      <c r="T140" s="694">
        <f t="shared" si="49"/>
        <v>0</v>
      </c>
      <c r="U140" s="694">
        <f t="shared" si="49"/>
        <v>0</v>
      </c>
      <c r="V140" s="694">
        <f t="shared" si="49"/>
        <v>0</v>
      </c>
      <c r="W140" s="694">
        <f t="shared" si="49"/>
        <v>0</v>
      </c>
      <c r="X140" s="694">
        <f t="shared" si="49"/>
        <v>0</v>
      </c>
    </row>
    <row r="141" spans="1:24" ht="15.75" thickBot="1">
      <c r="A141" s="856"/>
      <c r="B141" s="858" t="s">
        <v>84</v>
      </c>
      <c r="C141" s="856" t="s">
        <v>21</v>
      </c>
      <c r="D141" s="781">
        <f>H141+K141</f>
        <v>5.2854999999999999</v>
      </c>
      <c r="E141" s="781">
        <f t="shared" si="48"/>
        <v>0</v>
      </c>
      <c r="F141" s="781">
        <f t="shared" si="48"/>
        <v>0</v>
      </c>
      <c r="G141" s="781">
        <f t="shared" si="48"/>
        <v>0</v>
      </c>
      <c r="H141" s="857">
        <f>I141</f>
        <v>4.0073699999999999</v>
      </c>
      <c r="I141" s="857">
        <v>4.0073699999999999</v>
      </c>
      <c r="J141" s="781">
        <f>J143+J145+J147+J149+J151+J153+J155+J157</f>
        <v>0</v>
      </c>
      <c r="K141" s="694">
        <v>1.27813</v>
      </c>
      <c r="L141" s="694">
        <v>1.27813</v>
      </c>
      <c r="M141" s="694"/>
      <c r="N141" s="694">
        <f t="shared" si="49"/>
        <v>0</v>
      </c>
      <c r="O141" s="694">
        <f t="shared" si="49"/>
        <v>0</v>
      </c>
      <c r="P141" s="694">
        <f t="shared" si="49"/>
        <v>0</v>
      </c>
      <c r="Q141" s="694">
        <f t="shared" si="49"/>
        <v>0</v>
      </c>
      <c r="R141" s="694">
        <f t="shared" si="49"/>
        <v>0</v>
      </c>
      <c r="S141" s="694">
        <f t="shared" si="49"/>
        <v>0</v>
      </c>
      <c r="T141" s="694">
        <f t="shared" si="49"/>
        <v>0</v>
      </c>
      <c r="U141" s="694">
        <f t="shared" si="49"/>
        <v>0</v>
      </c>
      <c r="V141" s="694">
        <f t="shared" si="49"/>
        <v>0</v>
      </c>
      <c r="W141" s="694">
        <f t="shared" si="49"/>
        <v>0</v>
      </c>
      <c r="X141" s="694">
        <f t="shared" si="49"/>
        <v>0</v>
      </c>
    </row>
    <row r="142" spans="1:24" ht="15.75" thickBot="1">
      <c r="A142" s="856" t="s">
        <v>167</v>
      </c>
      <c r="B142" s="856" t="s">
        <v>168</v>
      </c>
      <c r="C142" s="856" t="s">
        <v>47</v>
      </c>
      <c r="D142" s="781">
        <f t="shared" ref="D142" si="50">E142+H142+K142+N142+P142+R142+U142+W142</f>
        <v>0</v>
      </c>
      <c r="E142" s="781">
        <f t="shared" ref="E142:E157" si="51">F142+G142</f>
        <v>0</v>
      </c>
      <c r="F142" s="857"/>
      <c r="G142" s="857"/>
      <c r="H142" s="857">
        <v>0</v>
      </c>
      <c r="I142" s="857"/>
      <c r="J142" s="857"/>
      <c r="K142" s="714">
        <f t="shared" ref="K142:K157" si="52">L142+M142</f>
        <v>0</v>
      </c>
      <c r="L142" s="721"/>
      <c r="M142" s="721"/>
      <c r="N142" s="698">
        <f t="shared" ref="N142:N157" si="53">O142</f>
        <v>0</v>
      </c>
      <c r="O142" s="863"/>
      <c r="P142" s="698">
        <f t="shared" ref="P142:P157" si="54">Q142</f>
        <v>0</v>
      </c>
      <c r="Q142" s="701"/>
      <c r="R142" s="698">
        <f t="shared" ref="R142:R157" si="55">S142+T142</f>
        <v>0</v>
      </c>
      <c r="S142" s="714"/>
      <c r="T142" s="698"/>
      <c r="U142" s="698">
        <f t="shared" ref="U142:U157" si="56">V142</f>
        <v>0</v>
      </c>
      <c r="V142" s="698"/>
      <c r="W142" s="698">
        <f t="shared" ref="W142:W157" si="57">X142</f>
        <v>0</v>
      </c>
      <c r="X142" s="698"/>
    </row>
    <row r="143" spans="1:24" ht="15.75" thickBot="1">
      <c r="A143" s="856"/>
      <c r="B143" s="856"/>
      <c r="C143" s="856" t="s">
        <v>21</v>
      </c>
      <c r="D143" s="781">
        <f>E143+H145+K143+N143+P143+R143+U143+W143</f>
        <v>0</v>
      </c>
      <c r="E143" s="781">
        <f t="shared" si="51"/>
        <v>0</v>
      </c>
      <c r="F143" s="857"/>
      <c r="G143" s="857"/>
      <c r="H143" s="857">
        <v>0</v>
      </c>
      <c r="I143" s="857"/>
      <c r="J143" s="857"/>
      <c r="K143" s="714">
        <f t="shared" si="52"/>
        <v>0</v>
      </c>
      <c r="L143" s="721"/>
      <c r="M143" s="721"/>
      <c r="N143" s="698">
        <f t="shared" si="53"/>
        <v>0</v>
      </c>
      <c r="O143" s="863"/>
      <c r="P143" s="698">
        <f t="shared" si="54"/>
        <v>0</v>
      </c>
      <c r="Q143" s="701"/>
      <c r="R143" s="698">
        <f t="shared" si="55"/>
        <v>0</v>
      </c>
      <c r="S143" s="714"/>
      <c r="T143" s="698"/>
      <c r="U143" s="698">
        <f t="shared" si="56"/>
        <v>0</v>
      </c>
      <c r="V143" s="698"/>
      <c r="W143" s="698">
        <f t="shared" si="57"/>
        <v>0</v>
      </c>
      <c r="X143" s="698"/>
    </row>
    <row r="144" spans="1:24" ht="15.75" thickBot="1">
      <c r="A144" s="856" t="s">
        <v>169</v>
      </c>
      <c r="B144" s="856" t="s">
        <v>170</v>
      </c>
      <c r="C144" s="856" t="s">
        <v>47</v>
      </c>
      <c r="D144" s="781">
        <f>E144+I144+K144+N144+P144+R144+U144+W144</f>
        <v>4</v>
      </c>
      <c r="E144" s="781">
        <f t="shared" si="51"/>
        <v>0</v>
      </c>
      <c r="F144" s="857"/>
      <c r="G144" s="857"/>
      <c r="H144" s="857">
        <v>0</v>
      </c>
      <c r="I144" s="857">
        <v>4</v>
      </c>
      <c r="J144" s="857"/>
      <c r="K144" s="714">
        <f t="shared" si="52"/>
        <v>0</v>
      </c>
      <c r="L144" s="721"/>
      <c r="M144" s="721"/>
      <c r="N144" s="698">
        <f t="shared" si="53"/>
        <v>0</v>
      </c>
      <c r="O144" s="863"/>
      <c r="P144" s="698">
        <f t="shared" si="54"/>
        <v>0</v>
      </c>
      <c r="Q144" s="701"/>
      <c r="R144" s="698">
        <f t="shared" si="55"/>
        <v>0</v>
      </c>
      <c r="S144" s="714"/>
      <c r="T144" s="698"/>
      <c r="U144" s="698">
        <f t="shared" si="56"/>
        <v>0</v>
      </c>
      <c r="V144" s="698"/>
      <c r="W144" s="698">
        <f t="shared" si="57"/>
        <v>0</v>
      </c>
      <c r="X144" s="698"/>
    </row>
    <row r="145" spans="1:24" ht="15.75" thickBot="1">
      <c r="A145" s="856"/>
      <c r="B145" s="856"/>
      <c r="C145" s="856" t="s">
        <v>21</v>
      </c>
      <c r="D145" s="781">
        <f>E145+I145+K145+N145+P145+R145+U145+W145</f>
        <v>1.409</v>
      </c>
      <c r="E145" s="781">
        <f t="shared" si="51"/>
        <v>0</v>
      </c>
      <c r="F145" s="857"/>
      <c r="G145" s="857"/>
      <c r="H145" s="857">
        <v>0</v>
      </c>
      <c r="I145" s="857">
        <v>1.409</v>
      </c>
      <c r="J145" s="857"/>
      <c r="K145" s="714">
        <f t="shared" si="52"/>
        <v>0</v>
      </c>
      <c r="L145" s="721"/>
      <c r="M145" s="721"/>
      <c r="N145" s="698">
        <f t="shared" si="53"/>
        <v>0</v>
      </c>
      <c r="O145" s="863"/>
      <c r="P145" s="698">
        <f t="shared" si="54"/>
        <v>0</v>
      </c>
      <c r="Q145" s="701"/>
      <c r="R145" s="698">
        <f t="shared" si="55"/>
        <v>0</v>
      </c>
      <c r="S145" s="714"/>
      <c r="T145" s="698"/>
      <c r="U145" s="698">
        <f t="shared" si="56"/>
        <v>0</v>
      </c>
      <c r="V145" s="698"/>
      <c r="W145" s="698">
        <f t="shared" si="57"/>
        <v>0</v>
      </c>
      <c r="X145" s="698"/>
    </row>
    <row r="146" spans="1:24" ht="15.75" thickBot="1">
      <c r="A146" s="856" t="s">
        <v>171</v>
      </c>
      <c r="B146" s="856" t="s">
        <v>172</v>
      </c>
      <c r="C146" s="856" t="s">
        <v>47</v>
      </c>
      <c r="D146" s="781">
        <f>E146+I146+K146+N146+P146+R146+U146+W146</f>
        <v>30</v>
      </c>
      <c r="E146" s="781">
        <f t="shared" si="51"/>
        <v>0</v>
      </c>
      <c r="F146" s="857"/>
      <c r="G146" s="857"/>
      <c r="H146" s="857">
        <v>0</v>
      </c>
      <c r="I146" s="857">
        <v>30</v>
      </c>
      <c r="J146" s="857"/>
      <c r="K146" s="714">
        <f t="shared" si="52"/>
        <v>0</v>
      </c>
      <c r="L146" s="721"/>
      <c r="M146" s="721"/>
      <c r="N146" s="698">
        <f t="shared" si="53"/>
        <v>0</v>
      </c>
      <c r="O146" s="863"/>
      <c r="P146" s="698">
        <f t="shared" si="54"/>
        <v>0</v>
      </c>
      <c r="Q146" s="701"/>
      <c r="R146" s="698">
        <f t="shared" si="55"/>
        <v>0</v>
      </c>
      <c r="S146" s="714"/>
      <c r="T146" s="698"/>
      <c r="U146" s="698">
        <f t="shared" si="56"/>
        <v>0</v>
      </c>
      <c r="V146" s="698"/>
      <c r="W146" s="698">
        <f t="shared" si="57"/>
        <v>0</v>
      </c>
      <c r="X146" s="698"/>
    </row>
    <row r="147" spans="1:24" ht="15.75" thickBot="1">
      <c r="A147" s="856"/>
      <c r="B147" s="856"/>
      <c r="C147" s="856" t="s">
        <v>21</v>
      </c>
      <c r="D147" s="781">
        <f>E147+I147+K147+N147+P147+R147+U147+W147</f>
        <v>1.901</v>
      </c>
      <c r="E147" s="781">
        <f t="shared" si="51"/>
        <v>0</v>
      </c>
      <c r="F147" s="857"/>
      <c r="G147" s="857"/>
      <c r="H147" s="857">
        <v>0</v>
      </c>
      <c r="I147" s="857">
        <v>1.901</v>
      </c>
      <c r="J147" s="857"/>
      <c r="K147" s="714"/>
      <c r="L147" s="721"/>
      <c r="M147" s="721"/>
      <c r="N147" s="698">
        <f t="shared" si="53"/>
        <v>0</v>
      </c>
      <c r="O147" s="863"/>
      <c r="P147" s="698">
        <f t="shared" si="54"/>
        <v>0</v>
      </c>
      <c r="Q147" s="701"/>
      <c r="R147" s="698">
        <f t="shared" si="55"/>
        <v>0</v>
      </c>
      <c r="S147" s="714"/>
      <c r="T147" s="698"/>
      <c r="U147" s="698">
        <f t="shared" si="56"/>
        <v>0</v>
      </c>
      <c r="V147" s="698"/>
      <c r="W147" s="698">
        <f t="shared" si="57"/>
        <v>0</v>
      </c>
      <c r="X147" s="698"/>
    </row>
    <row r="148" spans="1:24" ht="15.75" thickBot="1">
      <c r="A148" s="856" t="s">
        <v>173</v>
      </c>
      <c r="B148" s="856" t="s">
        <v>174</v>
      </c>
      <c r="C148" s="856" t="s">
        <v>47</v>
      </c>
      <c r="D148" s="781">
        <v>0</v>
      </c>
      <c r="E148" s="781">
        <f t="shared" si="51"/>
        <v>0</v>
      </c>
      <c r="F148" s="857"/>
      <c r="G148" s="857"/>
      <c r="H148" s="857">
        <v>0</v>
      </c>
      <c r="I148" s="857"/>
      <c r="J148" s="857"/>
      <c r="K148" s="714">
        <f t="shared" si="52"/>
        <v>0</v>
      </c>
      <c r="L148" s="721"/>
      <c r="M148" s="721"/>
      <c r="N148" s="698">
        <f t="shared" si="53"/>
        <v>0</v>
      </c>
      <c r="O148" s="863"/>
      <c r="P148" s="698">
        <f t="shared" si="54"/>
        <v>0</v>
      </c>
      <c r="Q148" s="701"/>
      <c r="R148" s="698">
        <f t="shared" si="55"/>
        <v>0</v>
      </c>
      <c r="S148" s="714"/>
      <c r="T148" s="698"/>
      <c r="U148" s="698">
        <f t="shared" si="56"/>
        <v>0</v>
      </c>
      <c r="V148" s="698"/>
      <c r="W148" s="698">
        <f t="shared" si="57"/>
        <v>0</v>
      </c>
      <c r="X148" s="698"/>
    </row>
    <row r="149" spans="1:24" ht="15.75" thickBot="1">
      <c r="A149" s="856"/>
      <c r="B149" s="856"/>
      <c r="C149" s="856" t="s">
        <v>21</v>
      </c>
      <c r="D149" s="781">
        <v>0</v>
      </c>
      <c r="E149" s="781">
        <f t="shared" si="51"/>
        <v>0</v>
      </c>
      <c r="F149" s="857"/>
      <c r="G149" s="857"/>
      <c r="H149" s="857">
        <v>0</v>
      </c>
      <c r="I149" s="857"/>
      <c r="J149" s="857"/>
      <c r="K149" s="714">
        <f t="shared" si="52"/>
        <v>0</v>
      </c>
      <c r="L149" s="721"/>
      <c r="M149" s="721"/>
      <c r="N149" s="698">
        <f t="shared" si="53"/>
        <v>0</v>
      </c>
      <c r="O149" s="863"/>
      <c r="P149" s="698">
        <f t="shared" si="54"/>
        <v>0</v>
      </c>
      <c r="Q149" s="864"/>
      <c r="R149" s="698">
        <f t="shared" si="55"/>
        <v>0</v>
      </c>
      <c r="S149" s="729"/>
      <c r="T149" s="726"/>
      <c r="U149" s="698">
        <f t="shared" si="56"/>
        <v>0</v>
      </c>
      <c r="V149" s="726"/>
      <c r="W149" s="698">
        <f t="shared" si="57"/>
        <v>0</v>
      </c>
      <c r="X149" s="726"/>
    </row>
    <row r="150" spans="1:24" ht="15.75" thickBot="1">
      <c r="A150" s="856" t="s">
        <v>175</v>
      </c>
      <c r="B150" s="856" t="s">
        <v>176</v>
      </c>
      <c r="C150" s="856" t="s">
        <v>47</v>
      </c>
      <c r="D150" s="781">
        <f t="shared" ref="D150:D157" si="58">E150+H150+K150+N150+P150+R150+U150+W150</f>
        <v>3310</v>
      </c>
      <c r="E150" s="781">
        <f t="shared" si="51"/>
        <v>0</v>
      </c>
      <c r="F150" s="857"/>
      <c r="G150" s="857"/>
      <c r="H150" s="857">
        <f>I150</f>
        <v>2916</v>
      </c>
      <c r="I150" s="857">
        <f>417+1119+1380</f>
        <v>2916</v>
      </c>
      <c r="J150" s="857"/>
      <c r="K150" s="714">
        <f>L150+M150</f>
        <v>394</v>
      </c>
      <c r="L150" s="694">
        <f>133+141+120</f>
        <v>394</v>
      </c>
      <c r="M150" s="721"/>
      <c r="N150" s="698">
        <f t="shared" si="53"/>
        <v>0</v>
      </c>
      <c r="O150" s="863"/>
      <c r="P150" s="698">
        <f t="shared" si="54"/>
        <v>0</v>
      </c>
      <c r="Q150" s="701"/>
      <c r="R150" s="698">
        <f t="shared" si="55"/>
        <v>0</v>
      </c>
      <c r="S150" s="714"/>
      <c r="T150" s="698"/>
      <c r="U150" s="698">
        <f t="shared" si="56"/>
        <v>0</v>
      </c>
      <c r="V150" s="698"/>
      <c r="W150" s="698">
        <f t="shared" si="57"/>
        <v>0</v>
      </c>
      <c r="X150" s="698"/>
    </row>
    <row r="151" spans="1:24" ht="15.75" thickBot="1">
      <c r="A151" s="856"/>
      <c r="B151" s="856"/>
      <c r="C151" s="856" t="s">
        <v>21</v>
      </c>
      <c r="D151" s="781">
        <f t="shared" si="58"/>
        <v>34.650500000000001</v>
      </c>
      <c r="E151" s="781">
        <f t="shared" si="51"/>
        <v>0</v>
      </c>
      <c r="F151" s="857"/>
      <c r="G151" s="857"/>
      <c r="H151" s="857">
        <f>I151</f>
        <v>30.72137</v>
      </c>
      <c r="I151" s="857">
        <f>4.00737+13.69+13.024</f>
        <v>30.72137</v>
      </c>
      <c r="J151" s="857"/>
      <c r="K151" s="714">
        <f>L151+M151</f>
        <v>3.9291300000000002</v>
      </c>
      <c r="L151" s="694">
        <f>1.27813+1.461+1.19</f>
        <v>3.9291300000000002</v>
      </c>
      <c r="M151" s="721"/>
      <c r="N151" s="698">
        <f t="shared" si="53"/>
        <v>0</v>
      </c>
      <c r="O151" s="863"/>
      <c r="P151" s="698">
        <f t="shared" si="54"/>
        <v>0</v>
      </c>
      <c r="Q151" s="701"/>
      <c r="R151" s="698">
        <f t="shared" si="55"/>
        <v>0</v>
      </c>
      <c r="S151" s="714"/>
      <c r="T151" s="698"/>
      <c r="U151" s="698">
        <f t="shared" si="56"/>
        <v>0</v>
      </c>
      <c r="V151" s="698"/>
      <c r="W151" s="698">
        <f t="shared" si="57"/>
        <v>0</v>
      </c>
      <c r="X151" s="698"/>
    </row>
    <row r="152" spans="1:24" ht="15.75" thickBot="1">
      <c r="A152" s="856" t="s">
        <v>177</v>
      </c>
      <c r="B152" s="856" t="s">
        <v>178</v>
      </c>
      <c r="C152" s="856" t="s">
        <v>47</v>
      </c>
      <c r="D152" s="781">
        <f t="shared" si="58"/>
        <v>0</v>
      </c>
      <c r="E152" s="781">
        <f t="shared" si="51"/>
        <v>0</v>
      </c>
      <c r="F152" s="857"/>
      <c r="G152" s="857"/>
      <c r="H152" s="857">
        <v>0</v>
      </c>
      <c r="I152" s="857"/>
      <c r="J152" s="857"/>
      <c r="K152" s="714">
        <f t="shared" si="52"/>
        <v>0</v>
      </c>
      <c r="L152" s="721"/>
      <c r="M152" s="721"/>
      <c r="N152" s="698">
        <f t="shared" si="53"/>
        <v>0</v>
      </c>
      <c r="O152" s="863"/>
      <c r="P152" s="698">
        <f t="shared" si="54"/>
        <v>0</v>
      </c>
      <c r="Q152" s="701"/>
      <c r="R152" s="698">
        <f t="shared" si="55"/>
        <v>0</v>
      </c>
      <c r="S152" s="714"/>
      <c r="T152" s="698"/>
      <c r="U152" s="698">
        <f t="shared" si="56"/>
        <v>0</v>
      </c>
      <c r="V152" s="698"/>
      <c r="W152" s="698">
        <f t="shared" si="57"/>
        <v>0</v>
      </c>
      <c r="X152" s="698"/>
    </row>
    <row r="153" spans="1:24" ht="15.75" thickBot="1">
      <c r="A153" s="856"/>
      <c r="B153" s="856"/>
      <c r="C153" s="856" t="s">
        <v>21</v>
      </c>
      <c r="D153" s="781">
        <f t="shared" si="58"/>
        <v>0</v>
      </c>
      <c r="E153" s="781">
        <f t="shared" si="51"/>
        <v>0</v>
      </c>
      <c r="F153" s="857"/>
      <c r="G153" s="857"/>
      <c r="H153" s="857">
        <v>0</v>
      </c>
      <c r="I153" s="857"/>
      <c r="J153" s="857"/>
      <c r="K153" s="714">
        <f t="shared" si="52"/>
        <v>0</v>
      </c>
      <c r="L153" s="721"/>
      <c r="M153" s="721"/>
      <c r="N153" s="698">
        <f t="shared" si="53"/>
        <v>0</v>
      </c>
      <c r="O153" s="863"/>
      <c r="P153" s="698">
        <f t="shared" si="54"/>
        <v>0</v>
      </c>
      <c r="Q153" s="701"/>
      <c r="R153" s="698">
        <f t="shared" si="55"/>
        <v>0</v>
      </c>
      <c r="S153" s="714"/>
      <c r="T153" s="698"/>
      <c r="U153" s="698">
        <f t="shared" si="56"/>
        <v>0</v>
      </c>
      <c r="V153" s="698"/>
      <c r="W153" s="698">
        <f t="shared" si="57"/>
        <v>0</v>
      </c>
      <c r="X153" s="698"/>
    </row>
    <row r="154" spans="1:24" ht="15.75" thickBot="1">
      <c r="A154" s="856" t="s">
        <v>179</v>
      </c>
      <c r="B154" s="856" t="s">
        <v>180</v>
      </c>
      <c r="C154" s="856" t="s">
        <v>47</v>
      </c>
      <c r="D154" s="781">
        <f>E154+I154+K154+N154+P154+R154+U154+W154</f>
        <v>0</v>
      </c>
      <c r="E154" s="781">
        <f t="shared" si="51"/>
        <v>0</v>
      </c>
      <c r="F154" s="857"/>
      <c r="G154" s="857"/>
      <c r="H154" s="857">
        <v>0</v>
      </c>
      <c r="I154" s="857"/>
      <c r="J154" s="857"/>
      <c r="K154" s="714">
        <f t="shared" si="52"/>
        <v>0</v>
      </c>
      <c r="L154" s="721"/>
      <c r="M154" s="721"/>
      <c r="N154" s="698">
        <f t="shared" si="53"/>
        <v>0</v>
      </c>
      <c r="O154" s="863"/>
      <c r="P154" s="698">
        <f t="shared" si="54"/>
        <v>0</v>
      </c>
      <c r="Q154" s="701"/>
      <c r="R154" s="698">
        <f t="shared" si="55"/>
        <v>0</v>
      </c>
      <c r="S154" s="714"/>
      <c r="T154" s="698"/>
      <c r="U154" s="698">
        <f t="shared" si="56"/>
        <v>0</v>
      </c>
      <c r="V154" s="698"/>
      <c r="W154" s="698">
        <f t="shared" si="57"/>
        <v>0</v>
      </c>
      <c r="X154" s="698"/>
    </row>
    <row r="155" spans="1:24" ht="15.75" thickBot="1">
      <c r="A155" s="856"/>
      <c r="B155" s="856"/>
      <c r="C155" s="856" t="s">
        <v>21</v>
      </c>
      <c r="D155" s="781">
        <f>E155+I155+K155+N155+P155+R155+U155+W155</f>
        <v>0</v>
      </c>
      <c r="E155" s="781">
        <f t="shared" si="51"/>
        <v>0</v>
      </c>
      <c r="F155" s="857"/>
      <c r="G155" s="857"/>
      <c r="H155" s="857">
        <v>0</v>
      </c>
      <c r="I155" s="857"/>
      <c r="J155" s="857"/>
      <c r="K155" s="714">
        <f t="shared" si="52"/>
        <v>0</v>
      </c>
      <c r="L155" s="721"/>
      <c r="M155" s="721"/>
      <c r="N155" s="698">
        <f t="shared" si="53"/>
        <v>0</v>
      </c>
      <c r="O155" s="863"/>
      <c r="P155" s="698">
        <f t="shared" si="54"/>
        <v>0</v>
      </c>
      <c r="Q155" s="701"/>
      <c r="R155" s="698">
        <f t="shared" si="55"/>
        <v>0</v>
      </c>
      <c r="S155" s="714"/>
      <c r="T155" s="698"/>
      <c r="U155" s="698">
        <f t="shared" si="56"/>
        <v>0</v>
      </c>
      <c r="V155" s="698"/>
      <c r="W155" s="698">
        <f t="shared" si="57"/>
        <v>0</v>
      </c>
      <c r="X155" s="698"/>
    </row>
    <row r="156" spans="1:24" ht="15.75" thickBot="1">
      <c r="A156" s="856" t="s">
        <v>181</v>
      </c>
      <c r="B156" s="856" t="s">
        <v>182</v>
      </c>
      <c r="C156" s="856" t="s">
        <v>47</v>
      </c>
      <c r="D156" s="781">
        <f t="shared" si="58"/>
        <v>0</v>
      </c>
      <c r="E156" s="781">
        <f t="shared" si="51"/>
        <v>0</v>
      </c>
      <c r="F156" s="857"/>
      <c r="G156" s="857"/>
      <c r="H156" s="857">
        <v>0</v>
      </c>
      <c r="I156" s="857"/>
      <c r="J156" s="857"/>
      <c r="K156" s="714">
        <f t="shared" si="52"/>
        <v>0</v>
      </c>
      <c r="L156" s="721"/>
      <c r="M156" s="721"/>
      <c r="N156" s="698">
        <f t="shared" si="53"/>
        <v>0</v>
      </c>
      <c r="O156" s="852"/>
      <c r="P156" s="698">
        <f t="shared" si="54"/>
        <v>0</v>
      </c>
      <c r="Q156" s="701"/>
      <c r="R156" s="698">
        <f t="shared" si="55"/>
        <v>0</v>
      </c>
      <c r="S156" s="714"/>
      <c r="T156" s="698"/>
      <c r="U156" s="698">
        <f t="shared" si="56"/>
        <v>0</v>
      </c>
      <c r="V156" s="698"/>
      <c r="W156" s="698">
        <f t="shared" si="57"/>
        <v>0</v>
      </c>
      <c r="X156" s="698"/>
    </row>
    <row r="157" spans="1:24" ht="15.75" thickBot="1">
      <c r="A157" s="856"/>
      <c r="B157" s="856"/>
      <c r="C157" s="856" t="s">
        <v>21</v>
      </c>
      <c r="D157" s="781">
        <f t="shared" si="58"/>
        <v>0</v>
      </c>
      <c r="E157" s="781">
        <f t="shared" si="51"/>
        <v>0</v>
      </c>
      <c r="F157" s="857"/>
      <c r="G157" s="857"/>
      <c r="H157" s="857">
        <v>0</v>
      </c>
      <c r="I157" s="857"/>
      <c r="J157" s="857"/>
      <c r="K157" s="714">
        <f t="shared" si="52"/>
        <v>0</v>
      </c>
      <c r="L157" s="721"/>
      <c r="M157" s="721"/>
      <c r="N157" s="698">
        <f t="shared" si="53"/>
        <v>0</v>
      </c>
      <c r="O157" s="804"/>
      <c r="P157" s="698">
        <f t="shared" si="54"/>
        <v>0</v>
      </c>
      <c r="Q157" s="747"/>
      <c r="R157" s="698">
        <f t="shared" si="55"/>
        <v>0</v>
      </c>
      <c r="S157" s="742"/>
      <c r="T157" s="720"/>
      <c r="U157" s="698">
        <f t="shared" si="56"/>
        <v>0</v>
      </c>
      <c r="V157" s="720"/>
      <c r="W157" s="698">
        <f t="shared" si="57"/>
        <v>0</v>
      </c>
      <c r="X157" s="720"/>
    </row>
    <row r="158" spans="1:24">
      <c r="A158" s="829"/>
      <c r="B158" s="829"/>
      <c r="C158" s="829"/>
      <c r="D158" s="1349"/>
      <c r="E158" s="1349"/>
      <c r="F158" s="1306"/>
      <c r="G158" s="1306"/>
      <c r="H158" s="1306"/>
      <c r="I158" s="1306"/>
      <c r="J158" s="1306"/>
      <c r="K158" s="866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</row>
    <row r="159" spans="1:24" hidden="1">
      <c r="A159" s="829"/>
      <c r="B159" s="829"/>
      <c r="C159" s="829"/>
      <c r="D159" s="1349"/>
      <c r="E159" s="1349"/>
      <c r="F159" s="1306"/>
      <c r="G159" s="1306"/>
      <c r="H159" s="1306"/>
      <c r="I159" s="1306"/>
      <c r="J159" s="1306"/>
      <c r="K159" s="866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</row>
    <row r="160" spans="1:24" hidden="1">
      <c r="A160" s="829"/>
      <c r="B160" s="829"/>
      <c r="C160" s="829"/>
      <c r="D160" s="1349"/>
      <c r="E160" s="1349"/>
      <c r="F160" s="1306"/>
      <c r="G160" s="1306"/>
      <c r="H160" s="1306"/>
      <c r="I160" s="1306"/>
      <c r="J160" s="1306"/>
      <c r="K160" s="866"/>
      <c r="L160" s="866"/>
      <c r="M160" s="866"/>
      <c r="N160" s="866"/>
      <c r="O160" s="866"/>
      <c r="P160" s="866"/>
      <c r="Q160" s="866"/>
      <c r="R160" s="866"/>
      <c r="S160" s="866"/>
      <c r="T160" s="866"/>
      <c r="U160" s="866"/>
      <c r="V160" s="866"/>
      <c r="W160" s="866"/>
      <c r="X160" s="866"/>
    </row>
    <row r="161" spans="1:24" hidden="1">
      <c r="A161" s="829"/>
      <c r="B161" s="829"/>
      <c r="C161" s="829"/>
      <c r="D161" s="1349"/>
      <c r="E161" s="1349"/>
      <c r="F161" s="1306"/>
      <c r="G161" s="1306"/>
      <c r="H161" s="1306"/>
      <c r="I161" s="1306"/>
      <c r="J161" s="1306"/>
      <c r="K161" s="866"/>
      <c r="L161" s="866"/>
      <c r="M161" s="866"/>
      <c r="N161" s="866"/>
      <c r="O161" s="866"/>
      <c r="P161" s="866"/>
      <c r="Q161" s="866"/>
      <c r="R161" s="866"/>
      <c r="S161" s="866"/>
      <c r="T161" s="866"/>
      <c r="U161" s="866"/>
      <c r="V161" s="866"/>
      <c r="W161" s="866"/>
      <c r="X161" s="866"/>
    </row>
    <row r="162" spans="1:24">
      <c r="A162" s="865" t="s">
        <v>211</v>
      </c>
      <c r="B162" s="865"/>
      <c r="C162" s="865"/>
      <c r="D162" s="865"/>
      <c r="E162" s="865"/>
      <c r="F162" s="866"/>
      <c r="G162" s="866"/>
      <c r="H162" s="866"/>
      <c r="I162" s="866"/>
      <c r="J162" s="866"/>
      <c r="K162" s="1350"/>
      <c r="L162" s="1350"/>
      <c r="M162" s="1350"/>
      <c r="N162" s="1350"/>
      <c r="O162" s="1350"/>
      <c r="P162" s="1350"/>
      <c r="Q162" s="1350"/>
      <c r="R162" s="1350"/>
      <c r="S162" s="1350"/>
      <c r="T162" s="1350"/>
      <c r="U162" s="1350"/>
      <c r="V162" s="1350"/>
      <c r="W162" s="1350"/>
      <c r="X162" s="1350"/>
    </row>
    <row r="163" spans="1:24">
      <c r="A163" s="1720" t="s">
        <v>212</v>
      </c>
      <c r="B163" s="1720"/>
      <c r="C163" s="1720"/>
      <c r="D163" s="1720"/>
      <c r="E163" s="1720"/>
      <c r="F163" s="1720"/>
      <c r="G163" s="1720"/>
      <c r="H163" s="1720"/>
      <c r="I163" s="1720"/>
      <c r="J163" s="1720"/>
      <c r="K163" s="1350"/>
      <c r="L163" s="1350"/>
      <c r="M163" s="1350"/>
      <c r="N163" s="1350"/>
      <c r="O163" s="1350"/>
      <c r="P163" s="1350"/>
      <c r="Q163" s="1350"/>
      <c r="R163" s="1350"/>
      <c r="S163" s="1350"/>
      <c r="T163" s="1350"/>
      <c r="U163" s="1350"/>
      <c r="V163" s="1350"/>
      <c r="W163" s="1350"/>
      <c r="X163" s="1350"/>
    </row>
    <row r="164" spans="1:24">
      <c r="A164" s="867"/>
      <c r="B164" s="866"/>
      <c r="C164" s="866"/>
      <c r="D164" s="866"/>
      <c r="E164" s="866"/>
      <c r="F164" s="866"/>
      <c r="G164" s="866"/>
      <c r="H164" s="866"/>
      <c r="I164" s="866"/>
      <c r="J164" s="866"/>
      <c r="K164" s="1350"/>
      <c r="L164" s="1350"/>
      <c r="M164" s="1350"/>
      <c r="N164" s="1350"/>
      <c r="O164" s="1350"/>
      <c r="P164" s="1350"/>
      <c r="Q164" s="1350"/>
      <c r="R164" s="1350"/>
      <c r="S164" s="1350"/>
      <c r="T164" s="1350"/>
      <c r="U164" s="1350"/>
      <c r="V164" s="1350"/>
      <c r="W164" s="1350"/>
      <c r="X164" s="1350"/>
    </row>
    <row r="165" spans="1:24">
      <c r="A165" s="865" t="s">
        <v>213</v>
      </c>
      <c r="B165" s="865"/>
      <c r="C165" s="865"/>
      <c r="D165" s="865"/>
      <c r="E165" s="865"/>
      <c r="F165" s="866"/>
      <c r="G165" s="866"/>
      <c r="H165" s="866"/>
      <c r="I165" s="866"/>
      <c r="J165" s="866"/>
      <c r="K165" s="1350"/>
      <c r="L165" s="1350"/>
      <c r="M165" s="1350"/>
      <c r="N165" s="1350"/>
      <c r="O165" s="1350"/>
      <c r="P165" s="1350"/>
      <c r="Q165" s="1350"/>
      <c r="R165" s="1350"/>
      <c r="S165" s="1350"/>
      <c r="T165" s="1350"/>
      <c r="U165" s="1350"/>
      <c r="V165" s="1350"/>
      <c r="W165" s="1350"/>
      <c r="X165" s="1350"/>
    </row>
  </sheetData>
  <mergeCells count="27">
    <mergeCell ref="A15:A17"/>
    <mergeCell ref="A102:T102"/>
    <mergeCell ref="A163:J163"/>
    <mergeCell ref="R11:T12"/>
    <mergeCell ref="U11:V12"/>
    <mergeCell ref="A11:A13"/>
    <mergeCell ref="B11:B13"/>
    <mergeCell ref="C11:C13"/>
    <mergeCell ref="D11:D13"/>
    <mergeCell ref="W11:X12"/>
    <mergeCell ref="E12:G12"/>
    <mergeCell ref="H12:J12"/>
    <mergeCell ref="K12:M12"/>
    <mergeCell ref="N12:O12"/>
    <mergeCell ref="P12:Q12"/>
    <mergeCell ref="E11:Q11"/>
    <mergeCell ref="I4:K4"/>
    <mergeCell ref="T4:X4"/>
    <mergeCell ref="I5:M5"/>
    <mergeCell ref="T5:X5"/>
    <mergeCell ref="A6:M6"/>
    <mergeCell ref="I1:K1"/>
    <mergeCell ref="T1:X1"/>
    <mergeCell ref="I2:K2"/>
    <mergeCell ref="T2:X2"/>
    <mergeCell ref="I3:K3"/>
    <mergeCell ref="T3:X3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3"/>
  <sheetViews>
    <sheetView view="pageBreakPreview" zoomScale="110" zoomScaleSheetLayoutView="110" workbookViewId="0">
      <pane xSplit="4" ySplit="12" topLeftCell="H103" activePane="bottomRight" state="frozen"/>
      <selection pane="topRight" activeCell="E1" sqref="E1"/>
      <selection pane="bottomLeft" activeCell="A13" sqref="A13"/>
      <selection pane="bottomRight" sqref="A1:X163"/>
    </sheetView>
  </sheetViews>
  <sheetFormatPr defaultRowHeight="15"/>
  <cols>
    <col min="1" max="1" width="7.5703125" customWidth="1"/>
    <col min="2" max="2" width="52.5703125" customWidth="1"/>
    <col min="3" max="3" width="10.85546875" customWidth="1"/>
    <col min="4" max="4" width="12.42578125" style="886" customWidth="1"/>
    <col min="5" max="5" width="9.140625" style="886" hidden="1" customWidth="1"/>
    <col min="6" max="7" width="9.140625" hidden="1" customWidth="1"/>
    <col min="8" max="8" width="10.85546875" style="886" customWidth="1"/>
    <col min="9" max="9" width="10.7109375" customWidth="1"/>
    <col min="10" max="10" width="10" customWidth="1"/>
    <col min="11" max="11" width="10.85546875" style="886" customWidth="1"/>
    <col min="12" max="12" width="12.5703125" customWidth="1"/>
    <col min="13" max="13" width="13.28515625" customWidth="1"/>
    <col min="14" max="14" width="0.140625" customWidth="1"/>
    <col min="15" max="17" width="9.140625" customWidth="1"/>
    <col min="18" max="18" width="0.140625" customWidth="1"/>
    <col min="19" max="20" width="9.140625" customWidth="1"/>
    <col min="21" max="21" width="0.140625" customWidth="1"/>
    <col min="22" max="24" width="9.140625" customWidth="1"/>
    <col min="26" max="26" width="10.42578125" bestFit="1" customWidth="1"/>
  </cols>
  <sheetData>
    <row r="1" spans="1:24" ht="10.5" customHeight="1">
      <c r="A1" s="631"/>
      <c r="B1" s="631"/>
      <c r="C1" s="631"/>
      <c r="D1" s="873"/>
      <c r="E1" s="873"/>
      <c r="F1" s="631"/>
      <c r="G1" s="631"/>
      <c r="H1" s="887"/>
      <c r="I1" s="1729" t="s">
        <v>184</v>
      </c>
      <c r="J1" s="1729"/>
      <c r="K1" s="1729"/>
      <c r="L1" s="633"/>
      <c r="M1" s="633"/>
      <c r="N1" s="631"/>
      <c r="O1" s="631"/>
      <c r="P1" s="631"/>
      <c r="Q1" s="631"/>
      <c r="R1" s="632"/>
      <c r="S1" s="632"/>
      <c r="T1" s="1730"/>
      <c r="U1" s="1730"/>
      <c r="V1" s="1730"/>
      <c r="W1" s="1730"/>
      <c r="X1" s="1730"/>
    </row>
    <row r="2" spans="1:24" ht="11.25" customHeight="1">
      <c r="A2" s="631"/>
      <c r="B2" s="631"/>
      <c r="C2" s="631"/>
      <c r="D2" s="873"/>
      <c r="E2" s="873"/>
      <c r="F2" s="631"/>
      <c r="G2" s="631"/>
      <c r="H2" s="887"/>
      <c r="I2" s="1729" t="s">
        <v>185</v>
      </c>
      <c r="J2" s="1729"/>
      <c r="K2" s="1729"/>
      <c r="L2" s="633"/>
      <c r="M2" s="633"/>
      <c r="N2" s="631"/>
      <c r="O2" s="631"/>
      <c r="P2" s="631"/>
      <c r="Q2" s="631"/>
      <c r="R2" s="632"/>
      <c r="S2" s="632"/>
      <c r="T2" s="1730"/>
      <c r="U2" s="1730"/>
      <c r="V2" s="1730"/>
      <c r="W2" s="1730"/>
      <c r="X2" s="1730"/>
    </row>
    <row r="3" spans="1:24" ht="11.25" customHeight="1">
      <c r="A3" s="631"/>
      <c r="B3" s="631"/>
      <c r="C3" s="631"/>
      <c r="D3" s="873"/>
      <c r="E3" s="873"/>
      <c r="F3" s="631"/>
      <c r="G3" s="631"/>
      <c r="H3" s="887"/>
      <c r="I3" s="1729" t="s">
        <v>186</v>
      </c>
      <c r="J3" s="1729"/>
      <c r="K3" s="1729"/>
      <c r="L3" s="633"/>
      <c r="M3" s="633"/>
      <c r="N3" s="631"/>
      <c r="O3" s="631"/>
      <c r="P3" s="631"/>
      <c r="Q3" s="631"/>
      <c r="R3" s="632"/>
      <c r="S3" s="632"/>
      <c r="T3" s="1730"/>
      <c r="U3" s="1730"/>
      <c r="V3" s="1730"/>
      <c r="W3" s="1730"/>
      <c r="X3" s="1730"/>
    </row>
    <row r="4" spans="1:24" ht="12.75" customHeight="1">
      <c r="A4" s="631"/>
      <c r="B4" s="631"/>
      <c r="C4" s="631"/>
      <c r="D4" s="873"/>
      <c r="E4" s="873"/>
      <c r="F4" s="631"/>
      <c r="G4" s="631"/>
      <c r="H4" s="887"/>
      <c r="I4" s="1729" t="s">
        <v>187</v>
      </c>
      <c r="J4" s="1729"/>
      <c r="K4" s="1729"/>
      <c r="L4" s="633"/>
      <c r="M4" s="633"/>
      <c r="N4" s="631"/>
      <c r="O4" s="631"/>
      <c r="P4" s="631"/>
      <c r="Q4" s="631"/>
      <c r="R4" s="632"/>
      <c r="S4" s="632"/>
      <c r="T4" s="1730"/>
      <c r="U4" s="1730"/>
      <c r="V4" s="1730"/>
      <c r="W4" s="1730"/>
      <c r="X4" s="1730"/>
    </row>
    <row r="5" spans="1:24" ht="12" customHeight="1">
      <c r="A5" s="631"/>
      <c r="B5" s="631"/>
      <c r="C5" s="631"/>
      <c r="D5" s="873"/>
      <c r="E5" s="873"/>
      <c r="F5" s="631"/>
      <c r="G5" s="631"/>
      <c r="H5" s="887"/>
      <c r="I5" s="1729" t="s">
        <v>210</v>
      </c>
      <c r="J5" s="1729"/>
      <c r="K5" s="1729"/>
      <c r="L5" s="1729"/>
      <c r="M5" s="1729"/>
      <c r="N5" s="631"/>
      <c r="O5" s="631"/>
      <c r="P5" s="631"/>
      <c r="Q5" s="631"/>
      <c r="R5" s="632"/>
      <c r="S5" s="632"/>
      <c r="T5" s="1730"/>
      <c r="U5" s="1730"/>
      <c r="V5" s="1730"/>
      <c r="W5" s="1730"/>
      <c r="X5" s="1730"/>
    </row>
    <row r="6" spans="1:24" ht="24" customHeight="1">
      <c r="A6" s="1731" t="s">
        <v>303</v>
      </c>
      <c r="B6" s="1731"/>
      <c r="C6" s="1731"/>
      <c r="D6" s="1731"/>
      <c r="E6" s="1731"/>
      <c r="F6" s="1731"/>
      <c r="G6" s="1731"/>
      <c r="H6" s="1731"/>
      <c r="I6" s="1731"/>
      <c r="J6" s="1731"/>
      <c r="K6" s="1731"/>
      <c r="L6" s="1731"/>
      <c r="M6" s="1731"/>
      <c r="N6" s="634"/>
      <c r="O6" s="634"/>
      <c r="P6" s="634"/>
      <c r="Q6" s="634"/>
      <c r="R6" s="634"/>
      <c r="S6" s="634"/>
      <c r="T6" s="634"/>
      <c r="U6" s="631"/>
      <c r="V6" s="631"/>
      <c r="W6" s="631"/>
      <c r="X6" s="631"/>
    </row>
    <row r="7" spans="1:24" ht="10.5" customHeight="1" thickBot="1">
      <c r="A7" s="635" t="s">
        <v>190</v>
      </c>
      <c r="B7" s="635"/>
      <c r="C7" s="635"/>
      <c r="D7" s="874"/>
      <c r="E7" s="874"/>
      <c r="F7" s="635"/>
      <c r="G7" s="635"/>
      <c r="H7" s="874"/>
      <c r="I7" s="635"/>
      <c r="J7" s="635"/>
      <c r="K7" s="874"/>
      <c r="L7" s="635"/>
      <c r="M7" s="635"/>
      <c r="N7" s="635"/>
      <c r="O7" s="636"/>
      <c r="P7" s="635"/>
      <c r="Q7" s="635"/>
      <c r="R7" s="635"/>
      <c r="S7" s="635"/>
      <c r="T7" s="635"/>
      <c r="U7" s="631"/>
      <c r="V7" s="631"/>
      <c r="W7" s="631"/>
      <c r="X7" s="631"/>
    </row>
    <row r="8" spans="1:24" ht="15.75" hidden="1" thickBot="1">
      <c r="A8" s="637"/>
      <c r="B8" s="631"/>
      <c r="C8" s="631"/>
      <c r="D8" s="874"/>
      <c r="E8" s="874"/>
      <c r="F8" s="638"/>
      <c r="G8" s="638"/>
      <c r="H8" s="888"/>
      <c r="I8" s="638"/>
      <c r="J8" s="638"/>
      <c r="K8" s="874"/>
      <c r="L8" s="638"/>
      <c r="M8" s="638"/>
      <c r="N8" s="638"/>
      <c r="O8" s="638"/>
      <c r="P8" s="635"/>
      <c r="Q8" s="638"/>
      <c r="R8" s="639"/>
      <c r="S8" s="639"/>
      <c r="T8" s="638"/>
      <c r="U8" s="639"/>
      <c r="V8" s="632"/>
      <c r="W8" s="639"/>
      <c r="X8" s="639"/>
    </row>
    <row r="9" spans="1:24" ht="12.75" customHeight="1" thickBot="1">
      <c r="A9" s="1738" t="s">
        <v>1</v>
      </c>
      <c r="B9" s="1739" t="s">
        <v>2</v>
      </c>
      <c r="C9" s="1746" t="s">
        <v>3</v>
      </c>
      <c r="D9" s="1747" t="s">
        <v>192</v>
      </c>
      <c r="E9" s="1727" t="s">
        <v>5</v>
      </c>
      <c r="F9" s="1727"/>
      <c r="G9" s="1727"/>
      <c r="H9" s="1727"/>
      <c r="I9" s="1727"/>
      <c r="J9" s="1727"/>
      <c r="K9" s="1727"/>
      <c r="L9" s="1727"/>
      <c r="M9" s="1727"/>
      <c r="N9" s="1727"/>
      <c r="O9" s="1727"/>
      <c r="P9" s="1727"/>
      <c r="Q9" s="1727"/>
      <c r="R9" s="1722" t="s">
        <v>6</v>
      </c>
      <c r="S9" s="1722"/>
      <c r="T9" s="1722"/>
      <c r="U9" s="1722" t="s">
        <v>7</v>
      </c>
      <c r="V9" s="1722"/>
      <c r="W9" s="1727" t="s">
        <v>8</v>
      </c>
      <c r="X9" s="1727"/>
    </row>
    <row r="10" spans="1:24" ht="42.75" customHeight="1" thickTop="1" thickBot="1">
      <c r="A10" s="1738"/>
      <c r="B10" s="1739"/>
      <c r="C10" s="1746"/>
      <c r="D10" s="1747"/>
      <c r="E10" s="1727" t="s">
        <v>9</v>
      </c>
      <c r="F10" s="1727"/>
      <c r="G10" s="1727"/>
      <c r="H10" s="1727" t="s">
        <v>10</v>
      </c>
      <c r="I10" s="1727"/>
      <c r="J10" s="1727"/>
      <c r="K10" s="1727" t="s">
        <v>11</v>
      </c>
      <c r="L10" s="1727"/>
      <c r="M10" s="1727"/>
      <c r="N10" s="1727" t="s">
        <v>12</v>
      </c>
      <c r="O10" s="1727"/>
      <c r="P10" s="1727" t="s">
        <v>13</v>
      </c>
      <c r="Q10" s="1727"/>
      <c r="R10" s="1722"/>
      <c r="S10" s="1722"/>
      <c r="T10" s="1722"/>
      <c r="U10" s="1722"/>
      <c r="V10" s="1722"/>
      <c r="W10" s="1727"/>
      <c r="X10" s="1727"/>
    </row>
    <row r="11" spans="1:24" ht="12.75" customHeight="1" thickTop="1" thickBot="1">
      <c r="A11" s="1738"/>
      <c r="B11" s="1739"/>
      <c r="C11" s="1746"/>
      <c r="D11" s="1747"/>
      <c r="E11" s="875" t="s">
        <v>14</v>
      </c>
      <c r="F11" s="641" t="s">
        <v>15</v>
      </c>
      <c r="G11" s="641" t="s">
        <v>16</v>
      </c>
      <c r="H11" s="889" t="s">
        <v>14</v>
      </c>
      <c r="I11" s="642" t="s">
        <v>15</v>
      </c>
      <c r="J11" s="642" t="s">
        <v>16</v>
      </c>
      <c r="K11" s="875" t="s">
        <v>14</v>
      </c>
      <c r="L11" s="642" t="s">
        <v>15</v>
      </c>
      <c r="M11" s="642" t="s">
        <v>16</v>
      </c>
      <c r="N11" s="640" t="s">
        <v>4</v>
      </c>
      <c r="O11" s="641" t="s">
        <v>16</v>
      </c>
      <c r="P11" s="640" t="s">
        <v>4</v>
      </c>
      <c r="Q11" s="643" t="s">
        <v>17</v>
      </c>
      <c r="R11" s="640" t="s">
        <v>4</v>
      </c>
      <c r="S11" s="641" t="s">
        <v>15</v>
      </c>
      <c r="T11" s="641" t="s">
        <v>16</v>
      </c>
      <c r="U11" s="640" t="s">
        <v>4</v>
      </c>
      <c r="V11" s="644" t="s">
        <v>18</v>
      </c>
      <c r="W11" s="640" t="s">
        <v>4</v>
      </c>
      <c r="X11" s="644" t="s">
        <v>18</v>
      </c>
    </row>
    <row r="12" spans="1:24" ht="16.5" thickTop="1" thickBot="1">
      <c r="A12" s="645" t="s">
        <v>19</v>
      </c>
      <c r="B12" s="646" t="s">
        <v>20</v>
      </c>
      <c r="C12" s="647" t="s">
        <v>21</v>
      </c>
      <c r="D12" s="876">
        <f>H12+K12</f>
        <v>523.41700000000003</v>
      </c>
      <c r="E12" s="876">
        <f>E15+E22+E33+E35+E38+E40+E42+E44+E46+E48+E50+E52+E54+E56+E58+E60+E62+E64+E66+E68+E70</f>
        <v>0</v>
      </c>
      <c r="F12" s="648">
        <f>F15+F22+F33+F35+F38+F40+F42+F44+F46+F48+F50+F52+F54+F56+F58+F60+F62+F64+F66+F68+F70</f>
        <v>0</v>
      </c>
      <c r="G12" s="648">
        <f>G15+G22+G33+G35+G38+G40+G42+G44+G46+G48+G50+G52+G54+G56+G58+G60+G62+G64+G66+G68+G70</f>
        <v>0</v>
      </c>
      <c r="H12" s="876">
        <f>I12</f>
        <v>380.16500000000008</v>
      </c>
      <c r="I12" s="648">
        <f>I15+I22+I24+I26+I28+I30+I31+I33+I35+I38+I40+I42+I44+I50+I52+I54</f>
        <v>380.16500000000008</v>
      </c>
      <c r="J12" s="648"/>
      <c r="K12" s="876">
        <f>L12</f>
        <v>143.25199999999998</v>
      </c>
      <c r="L12" s="648">
        <f>L15+L33+L38+L40</f>
        <v>143.25199999999998</v>
      </c>
      <c r="M12" s="648"/>
      <c r="N12" s="649">
        <v>0</v>
      </c>
      <c r="O12" s="650">
        <v>0</v>
      </c>
      <c r="P12" s="650">
        <v>0</v>
      </c>
      <c r="Q12" s="650">
        <v>0</v>
      </c>
      <c r="R12" s="650">
        <v>0</v>
      </c>
      <c r="S12" s="650">
        <v>0</v>
      </c>
      <c r="T12" s="650">
        <v>0</v>
      </c>
      <c r="U12" s="650">
        <v>0</v>
      </c>
      <c r="V12" s="650">
        <v>0</v>
      </c>
      <c r="W12" s="650">
        <v>0</v>
      </c>
      <c r="X12" s="650">
        <v>0</v>
      </c>
    </row>
    <row r="13" spans="1:24" ht="12.75" customHeight="1" thickBot="1">
      <c r="A13" s="1745">
        <v>1</v>
      </c>
      <c r="B13" s="651" t="s">
        <v>22</v>
      </c>
      <c r="C13" s="652" t="s">
        <v>23</v>
      </c>
      <c r="D13" s="876">
        <f t="shared" ref="D13:D70" si="0">H13+K13</f>
        <v>16</v>
      </c>
      <c r="E13" s="876">
        <f>F13+G13</f>
        <v>0</v>
      </c>
      <c r="F13" s="653"/>
      <c r="G13" s="654"/>
      <c r="H13" s="890">
        <f>I13+J13</f>
        <v>13</v>
      </c>
      <c r="I13" s="656">
        <v>13</v>
      </c>
      <c r="J13" s="656"/>
      <c r="K13" s="937">
        <f>L13</f>
        <v>3</v>
      </c>
      <c r="L13" s="656">
        <v>3</v>
      </c>
      <c r="M13" s="656"/>
      <c r="N13" s="657"/>
      <c r="O13" s="653"/>
      <c r="P13" s="653"/>
      <c r="Q13" s="653"/>
      <c r="R13" s="653"/>
      <c r="S13" s="653"/>
      <c r="T13" s="653"/>
      <c r="U13" s="653"/>
      <c r="V13" s="653"/>
      <c r="W13" s="653"/>
      <c r="X13" s="653"/>
    </row>
    <row r="14" spans="1:24" ht="11.25" customHeight="1" thickBot="1">
      <c r="A14" s="1745"/>
      <c r="B14" s="658"/>
      <c r="C14" s="659" t="s">
        <v>24</v>
      </c>
      <c r="D14" s="876">
        <f>D18+D16</f>
        <v>9.9000000000000005E-2</v>
      </c>
      <c r="E14" s="876">
        <f t="shared" ref="E14:E77" si="1">F14+G14</f>
        <v>0</v>
      </c>
      <c r="F14" s="660">
        <f>F16+F18+F20</f>
        <v>0</v>
      </c>
      <c r="G14" s="660">
        <f>G16+G18+G20</f>
        <v>0</v>
      </c>
      <c r="H14" s="890">
        <f t="shared" ref="H14:H19" si="2">I14</f>
        <v>7.6500000000000012E-2</v>
      </c>
      <c r="I14" s="661">
        <f>I16+I18</f>
        <v>7.6500000000000012E-2</v>
      </c>
      <c r="J14" s="661"/>
      <c r="K14" s="938">
        <f>0.002+0.0045+0.016</f>
        <v>2.2499999999999999E-2</v>
      </c>
      <c r="L14" s="662">
        <f>0.002+0.0045+0.016</f>
        <v>2.2499999999999999E-2</v>
      </c>
      <c r="M14" s="661"/>
      <c r="N14" s="663">
        <f t="shared" ref="N14:X15" si="3">N16+N18</f>
        <v>0</v>
      </c>
      <c r="O14" s="660">
        <f t="shared" si="3"/>
        <v>0</v>
      </c>
      <c r="P14" s="660">
        <f t="shared" si="3"/>
        <v>0</v>
      </c>
      <c r="Q14" s="660">
        <f t="shared" si="3"/>
        <v>0</v>
      </c>
      <c r="R14" s="660">
        <f t="shared" si="3"/>
        <v>0</v>
      </c>
      <c r="S14" s="660">
        <f t="shared" si="3"/>
        <v>0</v>
      </c>
      <c r="T14" s="660">
        <f t="shared" si="3"/>
        <v>0</v>
      </c>
      <c r="U14" s="660">
        <f t="shared" si="3"/>
        <v>0</v>
      </c>
      <c r="V14" s="660">
        <f t="shared" si="3"/>
        <v>0</v>
      </c>
      <c r="W14" s="660">
        <f t="shared" si="3"/>
        <v>0</v>
      </c>
      <c r="X14" s="660">
        <f t="shared" si="3"/>
        <v>0</v>
      </c>
    </row>
    <row r="15" spans="1:24" ht="13.5" customHeight="1" thickBot="1">
      <c r="A15" s="1745"/>
      <c r="B15" s="664" t="s">
        <v>25</v>
      </c>
      <c r="C15" s="665" t="s">
        <v>21</v>
      </c>
      <c r="D15" s="876">
        <f>K15+H15</f>
        <v>73.855000000000004</v>
      </c>
      <c r="E15" s="876">
        <f t="shared" si="1"/>
        <v>0</v>
      </c>
      <c r="F15" s="666">
        <f>F17+F19</f>
        <v>0</v>
      </c>
      <c r="G15" s="667">
        <f>G17+G19</f>
        <v>0</v>
      </c>
      <c r="H15" s="890">
        <f t="shared" si="2"/>
        <v>61.509</v>
      </c>
      <c r="I15" s="661">
        <f>I17+I19</f>
        <v>61.509</v>
      </c>
      <c r="J15" s="661"/>
      <c r="K15" s="938">
        <f>1.043+2.348+8.955</f>
        <v>12.346</v>
      </c>
      <c r="L15" s="662">
        <f>1.043+2.348+8.955</f>
        <v>12.346</v>
      </c>
      <c r="M15" s="661"/>
      <c r="N15" s="668">
        <f t="shared" si="3"/>
        <v>0</v>
      </c>
      <c r="O15" s="666">
        <f t="shared" si="3"/>
        <v>0</v>
      </c>
      <c r="P15" s="666">
        <f t="shared" si="3"/>
        <v>0</v>
      </c>
      <c r="Q15" s="666">
        <f t="shared" si="3"/>
        <v>0</v>
      </c>
      <c r="R15" s="666">
        <f t="shared" si="3"/>
        <v>0</v>
      </c>
      <c r="S15" s="666">
        <f t="shared" si="3"/>
        <v>0</v>
      </c>
      <c r="T15" s="666">
        <f t="shared" si="3"/>
        <v>0</v>
      </c>
      <c r="U15" s="666">
        <f t="shared" si="3"/>
        <v>0</v>
      </c>
      <c r="V15" s="666">
        <f t="shared" si="3"/>
        <v>0</v>
      </c>
      <c r="W15" s="666">
        <f t="shared" si="3"/>
        <v>0</v>
      </c>
      <c r="X15" s="666">
        <f t="shared" si="3"/>
        <v>0</v>
      </c>
    </row>
    <row r="16" spans="1:24" ht="13.5" customHeight="1" thickBot="1">
      <c r="A16" s="669" t="s">
        <v>26</v>
      </c>
      <c r="B16" s="670" t="s">
        <v>27</v>
      </c>
      <c r="C16" s="665" t="s">
        <v>24</v>
      </c>
      <c r="D16" s="876">
        <f>K16+H16</f>
        <v>1.7000000000000001E-2</v>
      </c>
      <c r="E16" s="876">
        <f t="shared" si="1"/>
        <v>0</v>
      </c>
      <c r="F16" s="671"/>
      <c r="G16" s="672"/>
      <c r="H16" s="891">
        <f t="shared" si="2"/>
        <v>1.7000000000000001E-2</v>
      </c>
      <c r="I16" s="673">
        <v>1.7000000000000001E-2</v>
      </c>
      <c r="J16" s="662"/>
      <c r="K16" s="939"/>
      <c r="L16" s="662"/>
      <c r="M16" s="662"/>
      <c r="N16" s="668">
        <f t="shared" ref="N16:N31" si="4">O16</f>
        <v>0</v>
      </c>
      <c r="O16" s="674"/>
      <c r="P16" s="667">
        <f t="shared" ref="P16:P70" si="5">Q16</f>
        <v>0</v>
      </c>
      <c r="Q16" s="675"/>
      <c r="R16" s="676">
        <f t="shared" ref="R16:R70" si="6">S16+T16</f>
        <v>0</v>
      </c>
      <c r="S16" s="675"/>
      <c r="T16" s="675"/>
      <c r="U16" s="676">
        <f t="shared" ref="U16:U70" si="7">V16</f>
        <v>0</v>
      </c>
      <c r="V16" s="675"/>
      <c r="W16" s="676">
        <f t="shared" ref="W16:W38" si="8">X16</f>
        <v>0</v>
      </c>
      <c r="X16" s="675"/>
    </row>
    <row r="17" spans="1:24" ht="12" customHeight="1" thickBot="1">
      <c r="A17" s="670"/>
      <c r="B17" s="670"/>
      <c r="C17" s="665" t="s">
        <v>21</v>
      </c>
      <c r="D17" s="876">
        <f>K17+H17</f>
        <v>28.797999999999998</v>
      </c>
      <c r="E17" s="876">
        <f t="shared" si="1"/>
        <v>0</v>
      </c>
      <c r="F17" s="671"/>
      <c r="G17" s="672"/>
      <c r="H17" s="890">
        <f t="shared" si="2"/>
        <v>28.797999999999998</v>
      </c>
      <c r="I17" s="662">
        <v>28.797999999999998</v>
      </c>
      <c r="J17" s="662"/>
      <c r="K17" s="939"/>
      <c r="L17" s="662"/>
      <c r="M17" s="662"/>
      <c r="N17" s="676">
        <f t="shared" si="4"/>
        <v>0</v>
      </c>
      <c r="O17" s="677"/>
      <c r="P17" s="676">
        <f t="shared" si="5"/>
        <v>0</v>
      </c>
      <c r="Q17" s="675"/>
      <c r="R17" s="676">
        <f t="shared" si="6"/>
        <v>0</v>
      </c>
      <c r="S17" s="675"/>
      <c r="T17" s="675"/>
      <c r="U17" s="676">
        <f t="shared" si="7"/>
        <v>0</v>
      </c>
      <c r="V17" s="675"/>
      <c r="W17" s="676">
        <f t="shared" si="8"/>
        <v>0</v>
      </c>
      <c r="X17" s="675"/>
    </row>
    <row r="18" spans="1:24" ht="11.25" customHeight="1" thickBot="1">
      <c r="A18" s="670" t="s">
        <v>28</v>
      </c>
      <c r="B18" s="670" t="s">
        <v>29</v>
      </c>
      <c r="C18" s="665" t="s">
        <v>24</v>
      </c>
      <c r="D18" s="876">
        <f>K18+H18</f>
        <v>8.2000000000000003E-2</v>
      </c>
      <c r="E18" s="876">
        <f t="shared" si="1"/>
        <v>0</v>
      </c>
      <c r="F18" s="671"/>
      <c r="G18" s="672"/>
      <c r="H18" s="890">
        <f t="shared" si="2"/>
        <v>5.9500000000000004E-2</v>
      </c>
      <c r="I18" s="678">
        <f>0.002+0.007+0.002+0.0045+0.02+0.014+0.01</f>
        <v>5.9500000000000004E-2</v>
      </c>
      <c r="J18" s="662"/>
      <c r="K18" s="938">
        <f>0.002+0.0045+0.016</f>
        <v>2.2499999999999999E-2</v>
      </c>
      <c r="L18" s="662">
        <f>0.002+0.0045+0.016</f>
        <v>2.2499999999999999E-2</v>
      </c>
      <c r="M18" s="662"/>
      <c r="N18" s="676">
        <f t="shared" si="4"/>
        <v>0</v>
      </c>
      <c r="O18" s="677"/>
      <c r="P18" s="676">
        <f t="shared" si="5"/>
        <v>0</v>
      </c>
      <c r="Q18" s="675"/>
      <c r="R18" s="676">
        <f t="shared" si="6"/>
        <v>0</v>
      </c>
      <c r="S18" s="675"/>
      <c r="T18" s="675"/>
      <c r="U18" s="676">
        <f t="shared" si="7"/>
        <v>0</v>
      </c>
      <c r="V18" s="675"/>
      <c r="W18" s="676">
        <f t="shared" si="8"/>
        <v>0</v>
      </c>
      <c r="X18" s="675"/>
    </row>
    <row r="19" spans="1:24" ht="12" customHeight="1" thickBot="1">
      <c r="A19" s="679"/>
      <c r="B19" s="679"/>
      <c r="C19" s="680" t="s">
        <v>21</v>
      </c>
      <c r="D19" s="876">
        <f>K19+H19</f>
        <v>45.057000000000002</v>
      </c>
      <c r="E19" s="876">
        <f t="shared" si="1"/>
        <v>0</v>
      </c>
      <c r="F19" s="681"/>
      <c r="G19" s="682"/>
      <c r="H19" s="890">
        <f t="shared" si="2"/>
        <v>32.710999999999999</v>
      </c>
      <c r="I19" s="662">
        <f>1.043+3.652+1.043+2.348+11.193+7.835+5.597</f>
        <v>32.710999999999999</v>
      </c>
      <c r="J19" s="662"/>
      <c r="K19" s="938">
        <f>1.043+2.348+8.955</f>
        <v>12.346</v>
      </c>
      <c r="L19" s="662">
        <f>1.043+2.348+8.955</f>
        <v>12.346</v>
      </c>
      <c r="M19" s="662"/>
      <c r="N19" s="683">
        <f t="shared" si="4"/>
        <v>0</v>
      </c>
      <c r="O19" s="677"/>
      <c r="P19" s="683">
        <f t="shared" si="5"/>
        <v>0</v>
      </c>
      <c r="Q19" s="675"/>
      <c r="R19" s="683">
        <f t="shared" si="6"/>
        <v>0</v>
      </c>
      <c r="S19" s="675"/>
      <c r="T19" s="675"/>
      <c r="U19" s="683">
        <f t="shared" si="7"/>
        <v>0</v>
      </c>
      <c r="V19" s="675"/>
      <c r="W19" s="683">
        <f t="shared" si="8"/>
        <v>0</v>
      </c>
      <c r="X19" s="675"/>
    </row>
    <row r="20" spans="1:24" ht="15.75" thickBot="1">
      <c r="A20" s="684" t="s">
        <v>30</v>
      </c>
      <c r="B20" s="684" t="s">
        <v>31</v>
      </c>
      <c r="C20" s="685" t="s">
        <v>21</v>
      </c>
      <c r="D20" s="876">
        <f t="shared" si="0"/>
        <v>0</v>
      </c>
      <c r="E20" s="876">
        <f t="shared" si="1"/>
        <v>0</v>
      </c>
      <c r="F20" s="686">
        <v>0</v>
      </c>
      <c r="G20" s="687">
        <v>0</v>
      </c>
      <c r="H20" s="890"/>
      <c r="I20" s="688"/>
      <c r="J20" s="688"/>
      <c r="K20" s="939"/>
      <c r="L20" s="688"/>
      <c r="M20" s="688"/>
      <c r="N20" s="689">
        <f t="shared" si="4"/>
        <v>0</v>
      </c>
      <c r="O20" s="690"/>
      <c r="P20" s="689">
        <f t="shared" si="5"/>
        <v>0</v>
      </c>
      <c r="Q20" s="691"/>
      <c r="R20" s="689">
        <f t="shared" si="6"/>
        <v>0</v>
      </c>
      <c r="S20" s="691"/>
      <c r="T20" s="691"/>
      <c r="U20" s="689">
        <f t="shared" si="7"/>
        <v>0</v>
      </c>
      <c r="V20" s="691"/>
      <c r="W20" s="689">
        <f t="shared" si="8"/>
        <v>0</v>
      </c>
      <c r="X20" s="691"/>
    </row>
    <row r="21" spans="1:24" s="968" customFormat="1" ht="12" customHeight="1" thickBot="1">
      <c r="A21" s="963">
        <v>2</v>
      </c>
      <c r="B21" s="964" t="s">
        <v>32</v>
      </c>
      <c r="C21" s="693" t="s">
        <v>33</v>
      </c>
      <c r="D21" s="648">
        <f>H21+K21</f>
        <v>0</v>
      </c>
      <c r="E21" s="648">
        <f t="shared" si="1"/>
        <v>0</v>
      </c>
      <c r="F21" s="965"/>
      <c r="G21" s="966"/>
      <c r="H21" s="655">
        <f t="shared" ref="H21:H26" si="9">I21</f>
        <v>0</v>
      </c>
      <c r="I21" s="965"/>
      <c r="J21" s="965"/>
      <c r="K21" s="648"/>
      <c r="L21" s="965"/>
      <c r="M21" s="965"/>
      <c r="N21" s="967">
        <f t="shared" si="4"/>
        <v>0</v>
      </c>
      <c r="O21" s="677"/>
      <c r="P21" s="967">
        <f t="shared" si="5"/>
        <v>0</v>
      </c>
      <c r="Q21" s="675"/>
      <c r="R21" s="967">
        <f t="shared" si="6"/>
        <v>0</v>
      </c>
      <c r="S21" s="675"/>
      <c r="T21" s="675"/>
      <c r="U21" s="967">
        <f t="shared" si="7"/>
        <v>0</v>
      </c>
      <c r="V21" s="675"/>
      <c r="W21" s="967">
        <f t="shared" si="8"/>
        <v>0</v>
      </c>
      <c r="X21" s="675"/>
    </row>
    <row r="22" spans="1:24" s="968" customFormat="1" ht="11.25" customHeight="1" thickBot="1">
      <c r="A22" s="969"/>
      <c r="B22" s="970" t="s">
        <v>34</v>
      </c>
      <c r="C22" s="697" t="s">
        <v>21</v>
      </c>
      <c r="D22" s="648">
        <f t="shared" si="0"/>
        <v>0</v>
      </c>
      <c r="E22" s="648">
        <f t="shared" si="1"/>
        <v>0</v>
      </c>
      <c r="F22" s="671"/>
      <c r="G22" s="672"/>
      <c r="H22" s="648">
        <f t="shared" si="9"/>
        <v>0</v>
      </c>
      <c r="I22" s="671"/>
      <c r="J22" s="671"/>
      <c r="K22" s="648"/>
      <c r="L22" s="671"/>
      <c r="M22" s="671"/>
      <c r="N22" s="676">
        <f t="shared" si="4"/>
        <v>0</v>
      </c>
      <c r="O22" s="677"/>
      <c r="P22" s="676">
        <f t="shared" si="5"/>
        <v>0</v>
      </c>
      <c r="Q22" s="675"/>
      <c r="R22" s="676">
        <f t="shared" si="6"/>
        <v>0</v>
      </c>
      <c r="S22" s="675"/>
      <c r="T22" s="675"/>
      <c r="U22" s="676">
        <f t="shared" si="7"/>
        <v>0</v>
      </c>
      <c r="V22" s="675"/>
      <c r="W22" s="676">
        <f t="shared" si="8"/>
        <v>0</v>
      </c>
      <c r="X22" s="675"/>
    </row>
    <row r="23" spans="1:24" ht="12.75" customHeight="1" thickBot="1">
      <c r="A23" s="702" t="s">
        <v>35</v>
      </c>
      <c r="B23" s="692" t="s">
        <v>36</v>
      </c>
      <c r="C23" s="693" t="s">
        <v>37</v>
      </c>
      <c r="D23" s="876">
        <f t="shared" si="0"/>
        <v>0</v>
      </c>
      <c r="E23" s="876">
        <f t="shared" si="1"/>
        <v>0</v>
      </c>
      <c r="F23" s="699"/>
      <c r="G23" s="700"/>
      <c r="H23" s="876">
        <f t="shared" si="9"/>
        <v>0</v>
      </c>
      <c r="I23" s="699"/>
      <c r="J23" s="699"/>
      <c r="K23" s="876"/>
      <c r="L23" s="699"/>
      <c r="M23" s="699"/>
      <c r="N23" s="701">
        <f t="shared" si="4"/>
        <v>0</v>
      </c>
      <c r="O23" s="690"/>
      <c r="P23" s="701">
        <f t="shared" si="5"/>
        <v>0</v>
      </c>
      <c r="Q23" s="691"/>
      <c r="R23" s="701">
        <f t="shared" si="6"/>
        <v>0</v>
      </c>
      <c r="S23" s="691"/>
      <c r="T23" s="691"/>
      <c r="U23" s="701">
        <f t="shared" si="7"/>
        <v>0</v>
      </c>
      <c r="V23" s="691"/>
      <c r="W23" s="701">
        <f t="shared" si="8"/>
        <v>0</v>
      </c>
      <c r="X23" s="691"/>
    </row>
    <row r="24" spans="1:24" ht="9.75" customHeight="1" thickBot="1">
      <c r="A24" s="702"/>
      <c r="B24" s="692"/>
      <c r="C24" s="693" t="s">
        <v>21</v>
      </c>
      <c r="D24" s="876">
        <f t="shared" si="0"/>
        <v>0</v>
      </c>
      <c r="E24" s="876">
        <f t="shared" si="1"/>
        <v>0</v>
      </c>
      <c r="F24" s="699"/>
      <c r="G24" s="700"/>
      <c r="H24" s="876">
        <f t="shared" si="9"/>
        <v>0</v>
      </c>
      <c r="I24" s="699"/>
      <c r="J24" s="699"/>
      <c r="K24" s="876"/>
      <c r="L24" s="699"/>
      <c r="M24" s="699"/>
      <c r="N24" s="701">
        <f t="shared" si="4"/>
        <v>0</v>
      </c>
      <c r="O24" s="690"/>
      <c r="P24" s="701">
        <f t="shared" si="5"/>
        <v>0</v>
      </c>
      <c r="Q24" s="691"/>
      <c r="R24" s="701">
        <f t="shared" si="6"/>
        <v>0</v>
      </c>
      <c r="S24" s="691"/>
      <c r="T24" s="691"/>
      <c r="U24" s="701">
        <f t="shared" si="7"/>
        <v>0</v>
      </c>
      <c r="V24" s="691"/>
      <c r="W24" s="701">
        <f t="shared" si="8"/>
        <v>0</v>
      </c>
      <c r="X24" s="691"/>
    </row>
    <row r="25" spans="1:24" ht="23.25" customHeight="1" thickBot="1">
      <c r="A25" s="703" t="s">
        <v>38</v>
      </c>
      <c r="B25" s="868" t="s">
        <v>39</v>
      </c>
      <c r="C25" s="705" t="s">
        <v>40</v>
      </c>
      <c r="D25" s="876">
        <f t="shared" si="0"/>
        <v>0</v>
      </c>
      <c r="E25" s="876">
        <f t="shared" si="1"/>
        <v>0</v>
      </c>
      <c r="F25" s="699"/>
      <c r="G25" s="700"/>
      <c r="H25" s="876">
        <f t="shared" si="9"/>
        <v>0</v>
      </c>
      <c r="I25" s="699"/>
      <c r="J25" s="699"/>
      <c r="K25" s="876"/>
      <c r="L25" s="699"/>
      <c r="M25" s="699"/>
      <c r="N25" s="701">
        <f t="shared" si="4"/>
        <v>0</v>
      </c>
      <c r="O25" s="690"/>
      <c r="P25" s="701">
        <f t="shared" si="5"/>
        <v>0</v>
      </c>
      <c r="Q25" s="691"/>
      <c r="R25" s="701">
        <f t="shared" si="6"/>
        <v>0</v>
      </c>
      <c r="S25" s="691"/>
      <c r="T25" s="691"/>
      <c r="U25" s="701">
        <f t="shared" si="7"/>
        <v>0</v>
      </c>
      <c r="V25" s="691"/>
      <c r="W25" s="701">
        <f t="shared" si="8"/>
        <v>0</v>
      </c>
      <c r="X25" s="691"/>
    </row>
    <row r="26" spans="1:24" ht="14.25" customHeight="1" thickBot="1">
      <c r="A26" s="695"/>
      <c r="B26" s="869" t="s">
        <v>41</v>
      </c>
      <c r="C26" s="697" t="s">
        <v>21</v>
      </c>
      <c r="D26" s="876">
        <f t="shared" si="0"/>
        <v>0</v>
      </c>
      <c r="E26" s="876">
        <f t="shared" si="1"/>
        <v>0</v>
      </c>
      <c r="F26" s="699"/>
      <c r="G26" s="700"/>
      <c r="H26" s="876">
        <f t="shared" si="9"/>
        <v>0</v>
      </c>
      <c r="I26" s="699"/>
      <c r="J26" s="699"/>
      <c r="K26" s="876"/>
      <c r="L26" s="699"/>
      <c r="M26" s="699"/>
      <c r="N26" s="701">
        <f t="shared" si="4"/>
        <v>0</v>
      </c>
      <c r="O26" s="690"/>
      <c r="P26" s="701">
        <f t="shared" si="5"/>
        <v>0</v>
      </c>
      <c r="Q26" s="691"/>
      <c r="R26" s="701">
        <f t="shared" si="6"/>
        <v>0</v>
      </c>
      <c r="S26" s="691"/>
      <c r="T26" s="691"/>
      <c r="U26" s="701">
        <f t="shared" si="7"/>
        <v>0</v>
      </c>
      <c r="V26" s="691"/>
      <c r="W26" s="701">
        <f t="shared" si="8"/>
        <v>0</v>
      </c>
      <c r="X26" s="691"/>
    </row>
    <row r="27" spans="1:24" ht="15.75" thickBot="1">
      <c r="A27" s="703" t="s">
        <v>42</v>
      </c>
      <c r="B27" s="704" t="s">
        <v>43</v>
      </c>
      <c r="C27" s="705" t="s">
        <v>40</v>
      </c>
      <c r="D27" s="876">
        <f t="shared" si="0"/>
        <v>0</v>
      </c>
      <c r="E27" s="876">
        <f t="shared" si="1"/>
        <v>0</v>
      </c>
      <c r="F27" s="699"/>
      <c r="G27" s="700"/>
      <c r="H27" s="876"/>
      <c r="I27" s="699"/>
      <c r="J27" s="699"/>
      <c r="K27" s="876"/>
      <c r="L27" s="699"/>
      <c r="M27" s="699"/>
      <c r="N27" s="701">
        <f t="shared" si="4"/>
        <v>0</v>
      </c>
      <c r="O27" s="690"/>
      <c r="P27" s="701">
        <f t="shared" si="5"/>
        <v>0</v>
      </c>
      <c r="Q27" s="691"/>
      <c r="R27" s="701">
        <f t="shared" si="6"/>
        <v>0</v>
      </c>
      <c r="S27" s="691"/>
      <c r="T27" s="691"/>
      <c r="U27" s="701">
        <f t="shared" si="7"/>
        <v>0</v>
      </c>
      <c r="V27" s="691"/>
      <c r="W27" s="701">
        <f t="shared" si="8"/>
        <v>0</v>
      </c>
      <c r="X27" s="691"/>
    </row>
    <row r="28" spans="1:24" ht="15.75" thickBot="1">
      <c r="A28" s="695"/>
      <c r="B28" s="696" t="s">
        <v>44</v>
      </c>
      <c r="C28" s="697" t="s">
        <v>21</v>
      </c>
      <c r="D28" s="876">
        <f t="shared" si="0"/>
        <v>0</v>
      </c>
      <c r="E28" s="876">
        <f t="shared" si="1"/>
        <v>0</v>
      </c>
      <c r="F28" s="699"/>
      <c r="G28" s="700"/>
      <c r="H28" s="876"/>
      <c r="I28" s="699"/>
      <c r="J28" s="699"/>
      <c r="K28" s="876"/>
      <c r="L28" s="699"/>
      <c r="M28" s="699"/>
      <c r="N28" s="701">
        <f t="shared" si="4"/>
        <v>0</v>
      </c>
      <c r="O28" s="690"/>
      <c r="P28" s="701">
        <f t="shared" si="5"/>
        <v>0</v>
      </c>
      <c r="Q28" s="691"/>
      <c r="R28" s="701">
        <f t="shared" si="6"/>
        <v>0</v>
      </c>
      <c r="S28" s="691"/>
      <c r="T28" s="691"/>
      <c r="U28" s="701">
        <f t="shared" si="7"/>
        <v>0</v>
      </c>
      <c r="V28" s="691"/>
      <c r="W28" s="701">
        <f t="shared" si="8"/>
        <v>0</v>
      </c>
      <c r="X28" s="691"/>
    </row>
    <row r="29" spans="1:24" ht="12.75" customHeight="1" thickBot="1">
      <c r="A29" s="703" t="s">
        <v>45</v>
      </c>
      <c r="B29" s="704" t="s">
        <v>46</v>
      </c>
      <c r="C29" s="705" t="s">
        <v>47</v>
      </c>
      <c r="D29" s="876">
        <f t="shared" si="0"/>
        <v>0</v>
      </c>
      <c r="E29" s="876">
        <f t="shared" si="1"/>
        <v>0</v>
      </c>
      <c r="F29" s="699"/>
      <c r="G29" s="700"/>
      <c r="H29" s="876"/>
      <c r="I29" s="699"/>
      <c r="J29" s="699"/>
      <c r="K29" s="876"/>
      <c r="L29" s="699"/>
      <c r="M29" s="699"/>
      <c r="N29" s="701">
        <f t="shared" si="4"/>
        <v>0</v>
      </c>
      <c r="O29" s="690"/>
      <c r="P29" s="701">
        <f t="shared" si="5"/>
        <v>0</v>
      </c>
      <c r="Q29" s="691"/>
      <c r="R29" s="701">
        <f t="shared" si="6"/>
        <v>0</v>
      </c>
      <c r="S29" s="691"/>
      <c r="T29" s="691"/>
      <c r="U29" s="701">
        <f t="shared" si="7"/>
        <v>0</v>
      </c>
      <c r="V29" s="691"/>
      <c r="W29" s="701">
        <f t="shared" si="8"/>
        <v>0</v>
      </c>
      <c r="X29" s="691"/>
    </row>
    <row r="30" spans="1:24" ht="13.5" customHeight="1" thickBot="1">
      <c r="A30" s="695"/>
      <c r="B30" s="696"/>
      <c r="C30" s="693" t="s">
        <v>21</v>
      </c>
      <c r="D30" s="876">
        <f t="shared" si="0"/>
        <v>0</v>
      </c>
      <c r="E30" s="876">
        <f t="shared" si="1"/>
        <v>0</v>
      </c>
      <c r="F30" s="699"/>
      <c r="G30" s="700"/>
      <c r="H30" s="876"/>
      <c r="I30" s="699"/>
      <c r="J30" s="699"/>
      <c r="K30" s="876"/>
      <c r="L30" s="699"/>
      <c r="M30" s="699"/>
      <c r="N30" s="701">
        <f t="shared" si="4"/>
        <v>0</v>
      </c>
      <c r="O30" s="690"/>
      <c r="P30" s="701">
        <f t="shared" si="5"/>
        <v>0</v>
      </c>
      <c r="Q30" s="691"/>
      <c r="R30" s="701">
        <f t="shared" si="6"/>
        <v>0</v>
      </c>
      <c r="S30" s="691"/>
      <c r="T30" s="691"/>
      <c r="U30" s="701">
        <f t="shared" si="7"/>
        <v>0</v>
      </c>
      <c r="V30" s="691"/>
      <c r="W30" s="701">
        <f t="shared" si="8"/>
        <v>0</v>
      </c>
      <c r="X30" s="691"/>
    </row>
    <row r="31" spans="1:24" ht="21.75" customHeight="1" thickBot="1">
      <c r="A31" s="695" t="s">
        <v>48</v>
      </c>
      <c r="B31" s="706" t="s">
        <v>49</v>
      </c>
      <c r="C31" s="685" t="s">
        <v>21</v>
      </c>
      <c r="D31" s="876">
        <f>H31</f>
        <v>0</v>
      </c>
      <c r="E31" s="876">
        <f t="shared" si="1"/>
        <v>0</v>
      </c>
      <c r="F31" s="699"/>
      <c r="G31" s="700"/>
      <c r="H31" s="876">
        <f>I31</f>
        <v>0</v>
      </c>
      <c r="I31" s="699"/>
      <c r="J31" s="699"/>
      <c r="K31" s="876"/>
      <c r="L31" s="699"/>
      <c r="M31" s="699"/>
      <c r="N31" s="701">
        <f t="shared" si="4"/>
        <v>0</v>
      </c>
      <c r="O31" s="690"/>
      <c r="P31" s="701">
        <f t="shared" si="5"/>
        <v>0</v>
      </c>
      <c r="Q31" s="691"/>
      <c r="R31" s="701">
        <f t="shared" si="6"/>
        <v>0</v>
      </c>
      <c r="S31" s="691"/>
      <c r="T31" s="691"/>
      <c r="U31" s="701">
        <f t="shared" si="7"/>
        <v>0</v>
      </c>
      <c r="V31" s="691"/>
      <c r="W31" s="701">
        <f t="shared" si="8"/>
        <v>0</v>
      </c>
      <c r="X31" s="691"/>
    </row>
    <row r="32" spans="1:24" ht="13.5" customHeight="1" thickBot="1">
      <c r="A32" s="707">
        <v>3</v>
      </c>
      <c r="B32" s="708" t="s">
        <v>50</v>
      </c>
      <c r="C32" s="659" t="s">
        <v>51</v>
      </c>
      <c r="D32" s="876">
        <f>I32+L32</f>
        <v>0.36599999999999999</v>
      </c>
      <c r="E32" s="876">
        <f t="shared" si="1"/>
        <v>0</v>
      </c>
      <c r="F32" s="699"/>
      <c r="G32" s="700"/>
      <c r="H32" s="876">
        <f>I32</f>
        <v>0.20500000000000002</v>
      </c>
      <c r="I32" s="699">
        <f>0.066+0.012+0.022+0.024+0.034+0.032+0.015</f>
        <v>0.20500000000000002</v>
      </c>
      <c r="J32" s="699"/>
      <c r="K32" s="876">
        <f>L32</f>
        <v>0.161</v>
      </c>
      <c r="L32" s="699">
        <f>0.017+0.005+0.024+0.081+0.024+0.01</f>
        <v>0.161</v>
      </c>
      <c r="M32" s="699"/>
      <c r="N32" s="701">
        <v>0</v>
      </c>
      <c r="O32" s="690"/>
      <c r="P32" s="701">
        <f t="shared" si="5"/>
        <v>0</v>
      </c>
      <c r="Q32" s="691"/>
      <c r="R32" s="701">
        <f t="shared" si="6"/>
        <v>0</v>
      </c>
      <c r="S32" s="691"/>
      <c r="T32" s="691"/>
      <c r="U32" s="701">
        <f t="shared" si="7"/>
        <v>0</v>
      </c>
      <c r="V32" s="691"/>
      <c r="W32" s="701">
        <f t="shared" si="8"/>
        <v>0</v>
      </c>
      <c r="X32" s="691"/>
    </row>
    <row r="33" spans="1:24" ht="15.75" thickBot="1">
      <c r="A33" s="709"/>
      <c r="B33" s="710" t="s">
        <v>52</v>
      </c>
      <c r="C33" s="680" t="s">
        <v>21</v>
      </c>
      <c r="D33" s="876">
        <f>I33+L33</f>
        <v>282.971</v>
      </c>
      <c r="E33" s="876">
        <f t="shared" si="1"/>
        <v>0</v>
      </c>
      <c r="F33" s="699"/>
      <c r="G33" s="700"/>
      <c r="H33" s="876">
        <f>I33</f>
        <v>156.84300000000002</v>
      </c>
      <c r="I33" s="699">
        <f>51.094+9.289+17.032+19.095+26.32+22.399+11.614</f>
        <v>156.84300000000002</v>
      </c>
      <c r="J33" s="699"/>
      <c r="K33" s="876">
        <f>L33</f>
        <v>126.128</v>
      </c>
      <c r="L33" s="699">
        <f>17.288+18.58+82.519+7.741</f>
        <v>126.128</v>
      </c>
      <c r="M33" s="699"/>
      <c r="N33" s="701">
        <v>0</v>
      </c>
      <c r="O33" s="690"/>
      <c r="P33" s="701">
        <f t="shared" si="5"/>
        <v>0</v>
      </c>
      <c r="Q33" s="691"/>
      <c r="R33" s="701">
        <f t="shared" si="6"/>
        <v>0</v>
      </c>
      <c r="S33" s="691"/>
      <c r="T33" s="691"/>
      <c r="U33" s="701">
        <f t="shared" si="7"/>
        <v>0</v>
      </c>
      <c r="V33" s="691"/>
      <c r="W33" s="701">
        <f t="shared" si="8"/>
        <v>0</v>
      </c>
      <c r="X33" s="691"/>
    </row>
    <row r="34" spans="1:24" ht="15.75" thickBot="1">
      <c r="A34" s="711">
        <v>4</v>
      </c>
      <c r="B34" s="712" t="s">
        <v>53</v>
      </c>
      <c r="C34" s="713" t="s">
        <v>24</v>
      </c>
      <c r="D34" s="876">
        <f t="shared" si="0"/>
        <v>0.104</v>
      </c>
      <c r="E34" s="876">
        <f t="shared" si="1"/>
        <v>0</v>
      </c>
      <c r="F34" s="699"/>
      <c r="G34" s="700"/>
      <c r="H34" s="876">
        <f>I34</f>
        <v>0.104</v>
      </c>
      <c r="I34" s="699">
        <f>0.104</f>
        <v>0.104</v>
      </c>
      <c r="J34" s="699"/>
      <c r="K34" s="876"/>
      <c r="L34" s="699"/>
      <c r="M34" s="699"/>
      <c r="N34" s="714">
        <f t="shared" ref="N34:N70" si="10">O34</f>
        <v>0</v>
      </c>
      <c r="O34" s="715"/>
      <c r="P34" s="698">
        <f t="shared" si="5"/>
        <v>0</v>
      </c>
      <c r="Q34" s="694"/>
      <c r="R34" s="698">
        <f t="shared" si="6"/>
        <v>0</v>
      </c>
      <c r="S34" s="694"/>
      <c r="T34" s="694"/>
      <c r="U34" s="698">
        <f t="shared" si="7"/>
        <v>0</v>
      </c>
      <c r="V34" s="694"/>
      <c r="W34" s="698">
        <f t="shared" si="8"/>
        <v>0</v>
      </c>
      <c r="X34" s="694"/>
    </row>
    <row r="35" spans="1:24" ht="15.75" thickBot="1">
      <c r="A35" s="716"/>
      <c r="B35" s="717"/>
      <c r="C35" s="718" t="s">
        <v>21</v>
      </c>
      <c r="D35" s="876">
        <f t="shared" si="0"/>
        <v>46.02</v>
      </c>
      <c r="E35" s="876">
        <f t="shared" si="1"/>
        <v>0</v>
      </c>
      <c r="F35" s="699"/>
      <c r="G35" s="700"/>
      <c r="H35" s="876">
        <f>I35</f>
        <v>46.02</v>
      </c>
      <c r="I35" s="699">
        <f>46.02</f>
        <v>46.02</v>
      </c>
      <c r="J35" s="699"/>
      <c r="K35" s="876"/>
      <c r="L35" s="699"/>
      <c r="M35" s="699"/>
      <c r="N35" s="714">
        <f t="shared" si="10"/>
        <v>0</v>
      </c>
      <c r="O35" s="719"/>
      <c r="P35" s="698">
        <f t="shared" si="5"/>
        <v>0</v>
      </c>
      <c r="Q35" s="720"/>
      <c r="R35" s="698">
        <f t="shared" si="6"/>
        <v>0</v>
      </c>
      <c r="S35" s="720"/>
      <c r="T35" s="720"/>
      <c r="U35" s="698">
        <f t="shared" si="7"/>
        <v>0</v>
      </c>
      <c r="V35" s="720"/>
      <c r="W35" s="698">
        <f t="shared" si="8"/>
        <v>0</v>
      </c>
      <c r="X35" s="720"/>
    </row>
    <row r="36" spans="1:24" ht="15.75" thickBot="1">
      <c r="A36" s="711">
        <v>5</v>
      </c>
      <c r="B36" s="712" t="s">
        <v>54</v>
      </c>
      <c r="C36" s="713" t="s">
        <v>24</v>
      </c>
      <c r="D36" s="876">
        <v>0</v>
      </c>
      <c r="E36" s="876">
        <f t="shared" si="1"/>
        <v>0</v>
      </c>
      <c r="F36" s="699"/>
      <c r="G36" s="700"/>
      <c r="H36" s="892">
        <v>0</v>
      </c>
      <c r="I36" s="699">
        <v>0</v>
      </c>
      <c r="J36" s="699"/>
      <c r="K36" s="892">
        <v>0</v>
      </c>
      <c r="L36" s="699">
        <v>0</v>
      </c>
      <c r="M36" s="699"/>
      <c r="N36" s="714">
        <f t="shared" si="10"/>
        <v>0</v>
      </c>
      <c r="O36" s="721"/>
      <c r="P36" s="698">
        <f t="shared" si="5"/>
        <v>0</v>
      </c>
      <c r="Q36" s="722"/>
      <c r="R36" s="698">
        <f t="shared" si="6"/>
        <v>0</v>
      </c>
      <c r="S36" s="722"/>
      <c r="T36" s="722"/>
      <c r="U36" s="698">
        <f t="shared" si="7"/>
        <v>0</v>
      </c>
      <c r="V36" s="722"/>
      <c r="W36" s="698">
        <f t="shared" si="8"/>
        <v>0</v>
      </c>
      <c r="X36" s="722"/>
    </row>
    <row r="37" spans="1:24" ht="15.75" thickBot="1">
      <c r="A37" s="723"/>
      <c r="B37" s="710" t="s">
        <v>55</v>
      </c>
      <c r="C37" s="665" t="s">
        <v>56</v>
      </c>
      <c r="D37" s="876">
        <f t="shared" si="0"/>
        <v>0</v>
      </c>
      <c r="E37" s="876">
        <f t="shared" si="1"/>
        <v>0</v>
      </c>
      <c r="F37" s="699"/>
      <c r="G37" s="700"/>
      <c r="H37" s="892">
        <v>0</v>
      </c>
      <c r="I37" s="699">
        <v>0</v>
      </c>
      <c r="J37" s="699"/>
      <c r="K37" s="892">
        <f>L37</f>
        <v>0</v>
      </c>
      <c r="L37" s="699">
        <v>0</v>
      </c>
      <c r="M37" s="699"/>
      <c r="N37" s="714">
        <f t="shared" si="10"/>
        <v>0</v>
      </c>
      <c r="O37" s="715"/>
      <c r="P37" s="698">
        <f t="shared" si="5"/>
        <v>0</v>
      </c>
      <c r="Q37" s="724"/>
      <c r="R37" s="698">
        <f t="shared" si="6"/>
        <v>0</v>
      </c>
      <c r="S37" s="724"/>
      <c r="T37" s="724"/>
      <c r="U37" s="698">
        <f t="shared" si="7"/>
        <v>0</v>
      </c>
      <c r="V37" s="724"/>
      <c r="W37" s="698">
        <f t="shared" si="8"/>
        <v>0</v>
      </c>
      <c r="X37" s="724"/>
    </row>
    <row r="38" spans="1:24" ht="15.75" thickBot="1">
      <c r="A38" s="725"/>
      <c r="B38" s="692"/>
      <c r="C38" s="693" t="s">
        <v>21</v>
      </c>
      <c r="D38" s="876">
        <f t="shared" si="0"/>
        <v>0</v>
      </c>
      <c r="E38" s="876">
        <f t="shared" si="1"/>
        <v>0</v>
      </c>
      <c r="F38" s="727"/>
      <c r="G38" s="728"/>
      <c r="H38" s="892">
        <v>0</v>
      </c>
      <c r="I38" s="699">
        <v>0</v>
      </c>
      <c r="J38" s="699"/>
      <c r="K38" s="892">
        <f>L38</f>
        <v>0</v>
      </c>
      <c r="L38" s="699">
        <v>0</v>
      </c>
      <c r="M38" s="699"/>
      <c r="N38" s="729">
        <f t="shared" si="10"/>
        <v>0</v>
      </c>
      <c r="O38" s="730"/>
      <c r="P38" s="726">
        <f t="shared" si="5"/>
        <v>0</v>
      </c>
      <c r="Q38" s="726"/>
      <c r="R38" s="726">
        <f t="shared" si="6"/>
        <v>0</v>
      </c>
      <c r="S38" s="726"/>
      <c r="T38" s="726"/>
      <c r="U38" s="726">
        <f t="shared" si="7"/>
        <v>0</v>
      </c>
      <c r="V38" s="726"/>
      <c r="W38" s="726">
        <f t="shared" si="8"/>
        <v>0</v>
      </c>
      <c r="X38" s="726"/>
    </row>
    <row r="39" spans="1:24" ht="26.25" customHeight="1" thickBot="1">
      <c r="A39" s="731" t="s">
        <v>57</v>
      </c>
      <c r="B39" s="732" t="s">
        <v>58</v>
      </c>
      <c r="C39" s="713" t="s">
        <v>24</v>
      </c>
      <c r="D39" s="876">
        <f>I39+L39</f>
        <v>0.05</v>
      </c>
      <c r="E39" s="876">
        <f t="shared" si="1"/>
        <v>0</v>
      </c>
      <c r="F39" s="733"/>
      <c r="G39" s="734"/>
      <c r="H39" s="876">
        <f>I39</f>
        <v>2.1999999999999999E-2</v>
      </c>
      <c r="I39" s="699">
        <f>0.022</f>
        <v>2.1999999999999999E-2</v>
      </c>
      <c r="J39" s="699"/>
      <c r="K39" s="892">
        <f>0.028</f>
        <v>2.8000000000000001E-2</v>
      </c>
      <c r="L39" s="699">
        <f>0.028</f>
        <v>2.8000000000000001E-2</v>
      </c>
      <c r="M39" s="699"/>
      <c r="N39" s="735">
        <f t="shared" si="10"/>
        <v>0</v>
      </c>
      <c r="O39" s="736"/>
      <c r="P39" s="722">
        <f t="shared" si="5"/>
        <v>0</v>
      </c>
      <c r="Q39" s="737"/>
      <c r="R39" s="722">
        <f t="shared" si="6"/>
        <v>0</v>
      </c>
      <c r="S39" s="737"/>
      <c r="T39" s="737"/>
      <c r="U39" s="722">
        <f t="shared" si="7"/>
        <v>0</v>
      </c>
      <c r="V39" s="737"/>
      <c r="W39" s="722"/>
      <c r="X39" s="737"/>
    </row>
    <row r="40" spans="1:24" ht="20.25" customHeight="1" thickBot="1">
      <c r="A40" s="738"/>
      <c r="B40" s="739"/>
      <c r="C40" s="697" t="s">
        <v>21</v>
      </c>
      <c r="D40" s="876">
        <f>I40+L40</f>
        <v>7.8529999999999998</v>
      </c>
      <c r="E40" s="876">
        <f t="shared" si="1"/>
        <v>0</v>
      </c>
      <c r="F40" s="740"/>
      <c r="G40" s="741"/>
      <c r="H40" s="876">
        <f>I40</f>
        <v>3.0750000000000002</v>
      </c>
      <c r="I40" s="699">
        <f>3.075</f>
        <v>3.0750000000000002</v>
      </c>
      <c r="J40" s="699"/>
      <c r="K40" s="892">
        <f>4.778</f>
        <v>4.7779999999999996</v>
      </c>
      <c r="L40" s="699">
        <f>4.778</f>
        <v>4.7779999999999996</v>
      </c>
      <c r="M40" s="699"/>
      <c r="N40" s="742">
        <f t="shared" si="10"/>
        <v>0</v>
      </c>
      <c r="O40" s="715"/>
      <c r="P40" s="720">
        <f t="shared" si="5"/>
        <v>0</v>
      </c>
      <c r="Q40" s="724"/>
      <c r="R40" s="720">
        <f t="shared" si="6"/>
        <v>0</v>
      </c>
      <c r="S40" s="743"/>
      <c r="T40" s="743"/>
      <c r="U40" s="720">
        <f t="shared" si="7"/>
        <v>0</v>
      </c>
      <c r="V40" s="743"/>
      <c r="W40" s="720"/>
      <c r="X40" s="743"/>
    </row>
    <row r="41" spans="1:24" ht="29.25" customHeight="1" thickBot="1">
      <c r="A41" s="744"/>
      <c r="B41" s="732" t="s">
        <v>59</v>
      </c>
      <c r="C41" s="713" t="s">
        <v>24</v>
      </c>
      <c r="D41" s="876">
        <f t="shared" si="0"/>
        <v>1.0199999999999999E-2</v>
      </c>
      <c r="E41" s="876">
        <f t="shared" si="1"/>
        <v>0</v>
      </c>
      <c r="F41" s="733"/>
      <c r="G41" s="734"/>
      <c r="H41" s="892">
        <f>0.0006+0.006+0.0015+0.0006+0.0006+0.0009</f>
        <v>1.0199999999999999E-2</v>
      </c>
      <c r="I41" s="699">
        <f>0.0006+0.006+0.0015+0.0006+0.0006+0.0009</f>
        <v>1.0199999999999999E-2</v>
      </c>
      <c r="J41" s="699"/>
      <c r="K41" s="876"/>
      <c r="L41" s="699"/>
      <c r="M41" s="699"/>
      <c r="N41" s="745">
        <f t="shared" si="10"/>
        <v>0</v>
      </c>
      <c r="O41" s="690"/>
      <c r="P41" s="745">
        <f t="shared" si="5"/>
        <v>0</v>
      </c>
      <c r="Q41" s="691"/>
      <c r="R41" s="735">
        <f t="shared" si="6"/>
        <v>0</v>
      </c>
      <c r="S41" s="737"/>
      <c r="T41" s="737"/>
      <c r="U41" s="722">
        <f t="shared" si="7"/>
        <v>0</v>
      </c>
      <c r="V41" s="737"/>
      <c r="W41" s="722"/>
      <c r="X41" s="737"/>
    </row>
    <row r="42" spans="1:24" ht="15.75" thickBot="1">
      <c r="A42" s="746"/>
      <c r="B42" s="739"/>
      <c r="C42" s="697" t="s">
        <v>21</v>
      </c>
      <c r="D42" s="876">
        <f t="shared" si="0"/>
        <v>10.166</v>
      </c>
      <c r="E42" s="876">
        <f t="shared" si="1"/>
        <v>0</v>
      </c>
      <c r="F42" s="740"/>
      <c r="G42" s="741"/>
      <c r="H42" s="892">
        <f>1.079+2.615+2.696+1.079+1.079+1.618</f>
        <v>10.166</v>
      </c>
      <c r="I42" s="699">
        <f>1.079+2.615+2.696+1.079+1.079+1.618</f>
        <v>10.166</v>
      </c>
      <c r="J42" s="699"/>
      <c r="K42" s="876"/>
      <c r="L42" s="699"/>
      <c r="M42" s="699"/>
      <c r="N42" s="747">
        <f t="shared" si="10"/>
        <v>0</v>
      </c>
      <c r="O42" s="690"/>
      <c r="P42" s="747">
        <f t="shared" si="5"/>
        <v>0</v>
      </c>
      <c r="Q42" s="691"/>
      <c r="R42" s="742">
        <f t="shared" si="6"/>
        <v>0</v>
      </c>
      <c r="S42" s="743"/>
      <c r="T42" s="743"/>
      <c r="U42" s="720">
        <f t="shared" si="7"/>
        <v>0</v>
      </c>
      <c r="V42" s="743"/>
      <c r="W42" s="720"/>
      <c r="X42" s="743"/>
    </row>
    <row r="43" spans="1:24" ht="15.75" thickBot="1">
      <c r="A43" s="711">
        <v>7</v>
      </c>
      <c r="B43" s="712" t="s">
        <v>60</v>
      </c>
      <c r="C43" s="713" t="s">
        <v>47</v>
      </c>
      <c r="D43" s="876">
        <f>I43+L43</f>
        <v>11</v>
      </c>
      <c r="E43" s="876">
        <f t="shared" si="1"/>
        <v>0</v>
      </c>
      <c r="F43" s="699"/>
      <c r="G43" s="700"/>
      <c r="H43" s="876">
        <f>I43</f>
        <v>11</v>
      </c>
      <c r="I43" s="699">
        <f>2+2+1+1+1+1+2+1</f>
        <v>11</v>
      </c>
      <c r="J43" s="699"/>
      <c r="K43" s="876"/>
      <c r="L43" s="699"/>
      <c r="M43" s="699"/>
      <c r="N43" s="714">
        <f t="shared" si="10"/>
        <v>0</v>
      </c>
      <c r="O43" s="715"/>
      <c r="P43" s="698">
        <f t="shared" si="5"/>
        <v>0</v>
      </c>
      <c r="Q43" s="694"/>
      <c r="R43" s="698">
        <f t="shared" si="6"/>
        <v>0</v>
      </c>
      <c r="S43" s="722"/>
      <c r="T43" s="722"/>
      <c r="U43" s="698">
        <f t="shared" si="7"/>
        <v>0</v>
      </c>
      <c r="V43" s="722"/>
      <c r="W43" s="698">
        <f t="shared" ref="W43:W70" si="11">X43</f>
        <v>0</v>
      </c>
      <c r="X43" s="722"/>
    </row>
    <row r="44" spans="1:24" ht="15.75" thickBot="1">
      <c r="A44" s="717"/>
      <c r="B44" s="739" t="s">
        <v>61</v>
      </c>
      <c r="C44" s="718" t="s">
        <v>21</v>
      </c>
      <c r="D44" s="876">
        <f>I44+L44</f>
        <v>6.5569999999999995</v>
      </c>
      <c r="E44" s="876">
        <f t="shared" si="1"/>
        <v>0</v>
      </c>
      <c r="F44" s="699"/>
      <c r="G44" s="700"/>
      <c r="H44" s="876">
        <f>I44</f>
        <v>6.5569999999999995</v>
      </c>
      <c r="I44" s="699">
        <f>1.965+1.05+0.983+0.983+1.05+0.526</f>
        <v>6.5569999999999995</v>
      </c>
      <c r="J44" s="699"/>
      <c r="K44" s="876"/>
      <c r="L44" s="699"/>
      <c r="M44" s="699"/>
      <c r="N44" s="714">
        <f t="shared" si="10"/>
        <v>0</v>
      </c>
      <c r="O44" s="719"/>
      <c r="P44" s="698">
        <f t="shared" si="5"/>
        <v>0</v>
      </c>
      <c r="Q44" s="720"/>
      <c r="R44" s="698">
        <f t="shared" si="6"/>
        <v>0</v>
      </c>
      <c r="S44" s="720"/>
      <c r="T44" s="720"/>
      <c r="U44" s="698">
        <f t="shared" si="7"/>
        <v>0</v>
      </c>
      <c r="V44" s="720"/>
      <c r="W44" s="698">
        <f t="shared" si="11"/>
        <v>0</v>
      </c>
      <c r="X44" s="720"/>
    </row>
    <row r="45" spans="1:24" ht="15.75" thickBot="1">
      <c r="A45" s="707">
        <v>8</v>
      </c>
      <c r="B45" s="708" t="s">
        <v>62</v>
      </c>
      <c r="C45" s="659" t="s">
        <v>47</v>
      </c>
      <c r="D45" s="876">
        <f t="shared" si="0"/>
        <v>0</v>
      </c>
      <c r="E45" s="876">
        <f t="shared" si="1"/>
        <v>0</v>
      </c>
      <c r="F45" s="699"/>
      <c r="G45" s="700"/>
      <c r="H45" s="876"/>
      <c r="I45" s="699"/>
      <c r="J45" s="699"/>
      <c r="K45" s="876"/>
      <c r="L45" s="699"/>
      <c r="M45" s="699"/>
      <c r="N45" s="714">
        <f t="shared" si="10"/>
        <v>0</v>
      </c>
      <c r="O45" s="715"/>
      <c r="P45" s="698">
        <f t="shared" si="5"/>
        <v>0</v>
      </c>
      <c r="Q45" s="722"/>
      <c r="R45" s="698">
        <f t="shared" si="6"/>
        <v>0</v>
      </c>
      <c r="S45" s="722"/>
      <c r="T45" s="722"/>
      <c r="U45" s="698">
        <f t="shared" si="7"/>
        <v>0</v>
      </c>
      <c r="V45" s="722"/>
      <c r="W45" s="698">
        <f t="shared" si="11"/>
        <v>0</v>
      </c>
      <c r="X45" s="722"/>
    </row>
    <row r="46" spans="1:24" ht="15.75" thickBot="1">
      <c r="A46" s="748"/>
      <c r="B46" s="749" t="s">
        <v>63</v>
      </c>
      <c r="C46" s="680" t="s">
        <v>21</v>
      </c>
      <c r="D46" s="876">
        <f t="shared" si="0"/>
        <v>0</v>
      </c>
      <c r="E46" s="876">
        <f t="shared" si="1"/>
        <v>0</v>
      </c>
      <c r="F46" s="699"/>
      <c r="G46" s="700"/>
      <c r="H46" s="876"/>
      <c r="I46" s="699"/>
      <c r="J46" s="699"/>
      <c r="K46" s="876"/>
      <c r="L46" s="699"/>
      <c r="M46" s="699"/>
      <c r="N46" s="714">
        <f t="shared" si="10"/>
        <v>0</v>
      </c>
      <c r="O46" s="730"/>
      <c r="P46" s="698">
        <f t="shared" si="5"/>
        <v>0</v>
      </c>
      <c r="Q46" s="720"/>
      <c r="R46" s="698">
        <f t="shared" si="6"/>
        <v>0</v>
      </c>
      <c r="S46" s="720"/>
      <c r="T46" s="720"/>
      <c r="U46" s="698">
        <f t="shared" si="7"/>
        <v>0</v>
      </c>
      <c r="V46" s="720"/>
      <c r="W46" s="698">
        <f t="shared" si="11"/>
        <v>0</v>
      </c>
      <c r="X46" s="720"/>
    </row>
    <row r="47" spans="1:24" ht="15.75" thickBot="1">
      <c r="A47" s="711">
        <v>9</v>
      </c>
      <c r="B47" s="712" t="s">
        <v>64</v>
      </c>
      <c r="C47" s="713" t="s">
        <v>51</v>
      </c>
      <c r="D47" s="876">
        <f t="shared" si="0"/>
        <v>0</v>
      </c>
      <c r="E47" s="876">
        <f t="shared" si="1"/>
        <v>0</v>
      </c>
      <c r="F47" s="699"/>
      <c r="G47" s="700"/>
      <c r="H47" s="876"/>
      <c r="I47" s="699"/>
      <c r="J47" s="699"/>
      <c r="K47" s="876"/>
      <c r="L47" s="699"/>
      <c r="M47" s="699"/>
      <c r="N47" s="714">
        <f t="shared" si="10"/>
        <v>0</v>
      </c>
      <c r="O47" s="736"/>
      <c r="P47" s="698">
        <f t="shared" si="5"/>
        <v>0</v>
      </c>
      <c r="Q47" s="722"/>
      <c r="R47" s="698">
        <f t="shared" si="6"/>
        <v>0</v>
      </c>
      <c r="S47" s="722"/>
      <c r="T47" s="722"/>
      <c r="U47" s="698">
        <f t="shared" si="7"/>
        <v>0</v>
      </c>
      <c r="V47" s="722"/>
      <c r="W47" s="698">
        <f t="shared" si="11"/>
        <v>0</v>
      </c>
      <c r="X47" s="722"/>
    </row>
    <row r="48" spans="1:24" ht="15.75" thickBot="1">
      <c r="A48" s="748"/>
      <c r="B48" s="709"/>
      <c r="C48" s="680" t="s">
        <v>21</v>
      </c>
      <c r="D48" s="876">
        <f t="shared" si="0"/>
        <v>0</v>
      </c>
      <c r="E48" s="876">
        <f t="shared" si="1"/>
        <v>0</v>
      </c>
      <c r="F48" s="699"/>
      <c r="G48" s="700"/>
      <c r="H48" s="876"/>
      <c r="I48" s="699"/>
      <c r="J48" s="699"/>
      <c r="K48" s="876"/>
      <c r="L48" s="699"/>
      <c r="M48" s="699"/>
      <c r="N48" s="714">
        <f t="shared" si="10"/>
        <v>0</v>
      </c>
      <c r="O48" s="730"/>
      <c r="P48" s="698">
        <f t="shared" si="5"/>
        <v>0</v>
      </c>
      <c r="Q48" s="720"/>
      <c r="R48" s="698">
        <f t="shared" si="6"/>
        <v>0</v>
      </c>
      <c r="S48" s="720"/>
      <c r="T48" s="720"/>
      <c r="U48" s="698">
        <f t="shared" si="7"/>
        <v>0</v>
      </c>
      <c r="V48" s="720"/>
      <c r="W48" s="698">
        <f t="shared" si="11"/>
        <v>0</v>
      </c>
      <c r="X48" s="720"/>
    </row>
    <row r="49" spans="1:24" ht="15.75" thickBot="1">
      <c r="A49" s="711">
        <v>10</v>
      </c>
      <c r="B49" s="712" t="s">
        <v>65</v>
      </c>
      <c r="C49" s="713" t="s">
        <v>47</v>
      </c>
      <c r="D49" s="876">
        <f t="shared" si="0"/>
        <v>13</v>
      </c>
      <c r="E49" s="876">
        <f t="shared" si="1"/>
        <v>0</v>
      </c>
      <c r="F49" s="699"/>
      <c r="G49" s="700"/>
      <c r="H49" s="876">
        <f t="shared" ref="H49:H54" si="12">I49</f>
        <v>13</v>
      </c>
      <c r="I49" s="699">
        <f>1+1+11</f>
        <v>13</v>
      </c>
      <c r="J49" s="699"/>
      <c r="K49" s="876"/>
      <c r="L49" s="699"/>
      <c r="M49" s="699"/>
      <c r="N49" s="714">
        <f t="shared" si="10"/>
        <v>0</v>
      </c>
      <c r="O49" s="736"/>
      <c r="P49" s="698">
        <f t="shared" si="5"/>
        <v>0</v>
      </c>
      <c r="Q49" s="722"/>
      <c r="R49" s="698">
        <f t="shared" si="6"/>
        <v>0</v>
      </c>
      <c r="S49" s="722"/>
      <c r="T49" s="722"/>
      <c r="U49" s="698">
        <f t="shared" si="7"/>
        <v>0</v>
      </c>
      <c r="V49" s="722"/>
      <c r="W49" s="698">
        <f t="shared" si="11"/>
        <v>0</v>
      </c>
      <c r="X49" s="722"/>
    </row>
    <row r="50" spans="1:24" ht="15.75" thickBot="1">
      <c r="A50" s="750"/>
      <c r="B50" s="739" t="s">
        <v>66</v>
      </c>
      <c r="C50" s="718" t="s">
        <v>21</v>
      </c>
      <c r="D50" s="876">
        <f t="shared" si="0"/>
        <v>77.751000000000005</v>
      </c>
      <c r="E50" s="876">
        <f t="shared" si="1"/>
        <v>0</v>
      </c>
      <c r="F50" s="699"/>
      <c r="G50" s="700"/>
      <c r="H50" s="876">
        <f t="shared" si="12"/>
        <v>77.751000000000005</v>
      </c>
      <c r="I50" s="699">
        <f>2.747+0.474+74.53</f>
        <v>77.751000000000005</v>
      </c>
      <c r="J50" s="699"/>
      <c r="K50" s="876"/>
      <c r="L50" s="699"/>
      <c r="M50" s="699"/>
      <c r="N50" s="714">
        <f t="shared" si="10"/>
        <v>0</v>
      </c>
      <c r="O50" s="719"/>
      <c r="P50" s="698">
        <f t="shared" si="5"/>
        <v>0</v>
      </c>
      <c r="Q50" s="720"/>
      <c r="R50" s="698">
        <f t="shared" si="6"/>
        <v>0</v>
      </c>
      <c r="S50" s="720"/>
      <c r="T50" s="720"/>
      <c r="U50" s="698">
        <f t="shared" si="7"/>
        <v>0</v>
      </c>
      <c r="V50" s="720"/>
      <c r="W50" s="698">
        <f t="shared" si="11"/>
        <v>0</v>
      </c>
      <c r="X50" s="720"/>
    </row>
    <row r="51" spans="1:24" ht="15.75" thickBot="1">
      <c r="A51" s="711">
        <v>11</v>
      </c>
      <c r="B51" s="712" t="s">
        <v>67</v>
      </c>
      <c r="C51" s="713" t="s">
        <v>47</v>
      </c>
      <c r="D51" s="876">
        <f t="shared" si="0"/>
        <v>2</v>
      </c>
      <c r="E51" s="876">
        <f t="shared" si="1"/>
        <v>0</v>
      </c>
      <c r="F51" s="699"/>
      <c r="G51" s="700"/>
      <c r="H51" s="876">
        <f t="shared" si="12"/>
        <v>2</v>
      </c>
      <c r="I51" s="699">
        <f>2</f>
        <v>2</v>
      </c>
      <c r="J51" s="699"/>
      <c r="K51" s="876"/>
      <c r="L51" s="699"/>
      <c r="M51" s="699"/>
      <c r="N51" s="714">
        <f t="shared" si="10"/>
        <v>0</v>
      </c>
      <c r="O51" s="736"/>
      <c r="P51" s="698">
        <f t="shared" si="5"/>
        <v>0</v>
      </c>
      <c r="Q51" s="722"/>
      <c r="R51" s="698">
        <f t="shared" si="6"/>
        <v>0</v>
      </c>
      <c r="S51" s="722"/>
      <c r="T51" s="722"/>
      <c r="U51" s="698">
        <f t="shared" si="7"/>
        <v>0</v>
      </c>
      <c r="V51" s="722"/>
      <c r="W51" s="698">
        <f t="shared" si="11"/>
        <v>0</v>
      </c>
      <c r="X51" s="722"/>
    </row>
    <row r="52" spans="1:24" ht="15.75" thickBot="1">
      <c r="A52" s="750"/>
      <c r="B52" s="717"/>
      <c r="C52" s="718" t="s">
        <v>21</v>
      </c>
      <c r="D52" s="876">
        <f t="shared" si="0"/>
        <v>9.2970000000000006</v>
      </c>
      <c r="E52" s="876">
        <f t="shared" si="1"/>
        <v>0</v>
      </c>
      <c r="F52" s="699"/>
      <c r="G52" s="700"/>
      <c r="H52" s="876">
        <f t="shared" si="12"/>
        <v>9.2970000000000006</v>
      </c>
      <c r="I52" s="699">
        <f>9.297</f>
        <v>9.2970000000000006</v>
      </c>
      <c r="J52" s="699"/>
      <c r="K52" s="876"/>
      <c r="L52" s="699"/>
      <c r="M52" s="699"/>
      <c r="N52" s="714">
        <f t="shared" si="10"/>
        <v>0</v>
      </c>
      <c r="O52" s="719"/>
      <c r="P52" s="698">
        <f t="shared" si="5"/>
        <v>0</v>
      </c>
      <c r="Q52" s="720"/>
      <c r="R52" s="698">
        <f t="shared" si="6"/>
        <v>0</v>
      </c>
      <c r="S52" s="720"/>
      <c r="T52" s="720"/>
      <c r="U52" s="698">
        <f t="shared" si="7"/>
        <v>0</v>
      </c>
      <c r="V52" s="720"/>
      <c r="W52" s="698">
        <f t="shared" si="11"/>
        <v>0</v>
      </c>
      <c r="X52" s="720"/>
    </row>
    <row r="53" spans="1:24" ht="15.75" thickBot="1">
      <c r="A53" s="711">
        <v>12</v>
      </c>
      <c r="B53" s="712" t="s">
        <v>68</v>
      </c>
      <c r="C53" s="713" t="s">
        <v>47</v>
      </c>
      <c r="D53" s="876">
        <f t="shared" si="0"/>
        <v>3</v>
      </c>
      <c r="E53" s="876">
        <f t="shared" si="1"/>
        <v>0</v>
      </c>
      <c r="F53" s="699"/>
      <c r="G53" s="700"/>
      <c r="H53" s="876">
        <f t="shared" si="12"/>
        <v>3</v>
      </c>
      <c r="I53" s="699">
        <f>1+1+1</f>
        <v>3</v>
      </c>
      <c r="J53" s="699"/>
      <c r="K53" s="876"/>
      <c r="L53" s="699"/>
      <c r="M53" s="699"/>
      <c r="N53" s="714">
        <f t="shared" si="10"/>
        <v>0</v>
      </c>
      <c r="O53" s="736"/>
      <c r="P53" s="698">
        <f t="shared" si="5"/>
        <v>0</v>
      </c>
      <c r="Q53" s="722"/>
      <c r="R53" s="698">
        <f t="shared" si="6"/>
        <v>0</v>
      </c>
      <c r="S53" s="722"/>
      <c r="T53" s="722"/>
      <c r="U53" s="698">
        <f t="shared" si="7"/>
        <v>0</v>
      </c>
      <c r="V53" s="722"/>
      <c r="W53" s="698">
        <f t="shared" si="11"/>
        <v>0</v>
      </c>
      <c r="X53" s="722"/>
    </row>
    <row r="54" spans="1:24" ht="15.75" thickBot="1">
      <c r="A54" s="750"/>
      <c r="B54" s="739" t="s">
        <v>69</v>
      </c>
      <c r="C54" s="718" t="s">
        <v>21</v>
      </c>
      <c r="D54" s="876">
        <f t="shared" si="0"/>
        <v>8.9469999999999992</v>
      </c>
      <c r="E54" s="876">
        <f t="shared" si="1"/>
        <v>0</v>
      </c>
      <c r="F54" s="699"/>
      <c r="G54" s="700"/>
      <c r="H54" s="876">
        <f t="shared" si="12"/>
        <v>8.9469999999999992</v>
      </c>
      <c r="I54" s="699">
        <f>4.473+2.237+2.237</f>
        <v>8.9469999999999992</v>
      </c>
      <c r="J54" s="699"/>
      <c r="K54" s="876"/>
      <c r="L54" s="699"/>
      <c r="M54" s="699"/>
      <c r="N54" s="714">
        <f t="shared" si="10"/>
        <v>0</v>
      </c>
      <c r="O54" s="719"/>
      <c r="P54" s="698">
        <f t="shared" si="5"/>
        <v>0</v>
      </c>
      <c r="Q54" s="720"/>
      <c r="R54" s="698">
        <f t="shared" si="6"/>
        <v>0</v>
      </c>
      <c r="S54" s="720"/>
      <c r="T54" s="720"/>
      <c r="U54" s="698">
        <f t="shared" si="7"/>
        <v>0</v>
      </c>
      <c r="V54" s="720"/>
      <c r="W54" s="698">
        <f t="shared" si="11"/>
        <v>0</v>
      </c>
      <c r="X54" s="720"/>
    </row>
    <row r="55" spans="1:24" ht="17.25" customHeight="1" thickBot="1">
      <c r="A55" s="711">
        <v>14</v>
      </c>
      <c r="B55" s="871" t="s">
        <v>70</v>
      </c>
      <c r="C55" s="713" t="s">
        <v>24</v>
      </c>
      <c r="D55" s="876">
        <f t="shared" si="0"/>
        <v>0</v>
      </c>
      <c r="E55" s="876">
        <f t="shared" si="1"/>
        <v>0</v>
      </c>
      <c r="F55" s="699"/>
      <c r="G55" s="700"/>
      <c r="H55" s="876"/>
      <c r="I55" s="699"/>
      <c r="J55" s="699"/>
      <c r="K55" s="876"/>
      <c r="L55" s="699"/>
      <c r="M55" s="699"/>
      <c r="N55" s="714">
        <f t="shared" si="10"/>
        <v>0</v>
      </c>
      <c r="O55" s="721"/>
      <c r="P55" s="698">
        <f t="shared" si="5"/>
        <v>0</v>
      </c>
      <c r="Q55" s="722"/>
      <c r="R55" s="698">
        <f t="shared" si="6"/>
        <v>0</v>
      </c>
      <c r="S55" s="722"/>
      <c r="T55" s="722"/>
      <c r="U55" s="698">
        <f t="shared" si="7"/>
        <v>0</v>
      </c>
      <c r="V55" s="722"/>
      <c r="W55" s="698">
        <f t="shared" si="11"/>
        <v>0</v>
      </c>
      <c r="X55" s="722"/>
    </row>
    <row r="56" spans="1:24" ht="21" customHeight="1" thickBot="1">
      <c r="A56" s="748"/>
      <c r="B56" s="872" t="s">
        <v>71</v>
      </c>
      <c r="C56" s="680" t="s">
        <v>21</v>
      </c>
      <c r="D56" s="876">
        <f t="shared" si="0"/>
        <v>0</v>
      </c>
      <c r="E56" s="876">
        <f t="shared" si="1"/>
        <v>0</v>
      </c>
      <c r="F56" s="699"/>
      <c r="G56" s="700"/>
      <c r="H56" s="876"/>
      <c r="I56" s="699"/>
      <c r="J56" s="699"/>
      <c r="K56" s="876"/>
      <c r="L56" s="699"/>
      <c r="M56" s="699"/>
      <c r="N56" s="714">
        <f t="shared" si="10"/>
        <v>0</v>
      </c>
      <c r="O56" s="730"/>
      <c r="P56" s="698">
        <f t="shared" si="5"/>
        <v>0</v>
      </c>
      <c r="Q56" s="726"/>
      <c r="R56" s="698">
        <f t="shared" si="6"/>
        <v>0</v>
      </c>
      <c r="S56" s="726"/>
      <c r="T56" s="726"/>
      <c r="U56" s="698">
        <f t="shared" si="7"/>
        <v>0</v>
      </c>
      <c r="V56" s="726"/>
      <c r="W56" s="698">
        <f t="shared" si="11"/>
        <v>0</v>
      </c>
      <c r="X56" s="726"/>
    </row>
    <row r="57" spans="1:24" ht="21" customHeight="1" thickBot="1">
      <c r="A57" s="751">
        <v>15</v>
      </c>
      <c r="B57" s="870" t="s">
        <v>72</v>
      </c>
      <c r="C57" s="713" t="s">
        <v>47</v>
      </c>
      <c r="D57" s="876">
        <f t="shared" si="0"/>
        <v>0</v>
      </c>
      <c r="E57" s="876">
        <f t="shared" si="1"/>
        <v>0</v>
      </c>
      <c r="F57" s="699"/>
      <c r="G57" s="700"/>
      <c r="H57" s="876"/>
      <c r="I57" s="699"/>
      <c r="J57" s="699"/>
      <c r="K57" s="876"/>
      <c r="L57" s="699"/>
      <c r="M57" s="699"/>
      <c r="N57" s="714">
        <f t="shared" si="10"/>
        <v>0</v>
      </c>
      <c r="O57" s="721"/>
      <c r="P57" s="698">
        <f t="shared" si="5"/>
        <v>0</v>
      </c>
      <c r="Q57" s="722"/>
      <c r="R57" s="698">
        <f t="shared" si="6"/>
        <v>0</v>
      </c>
      <c r="S57" s="722"/>
      <c r="T57" s="722"/>
      <c r="U57" s="698">
        <f t="shared" si="7"/>
        <v>0</v>
      </c>
      <c r="V57" s="722"/>
      <c r="W57" s="698">
        <f t="shared" si="11"/>
        <v>0</v>
      </c>
      <c r="X57" s="722"/>
    </row>
    <row r="58" spans="1:24" ht="15.75" thickBot="1">
      <c r="A58" s="753"/>
      <c r="B58" s="754" t="s">
        <v>73</v>
      </c>
      <c r="C58" s="680" t="s">
        <v>21</v>
      </c>
      <c r="D58" s="876">
        <f t="shared" si="0"/>
        <v>0</v>
      </c>
      <c r="E58" s="876">
        <f t="shared" si="1"/>
        <v>0</v>
      </c>
      <c r="F58" s="727"/>
      <c r="G58" s="728"/>
      <c r="H58" s="876"/>
      <c r="I58" s="699"/>
      <c r="J58" s="699"/>
      <c r="K58" s="876"/>
      <c r="L58" s="699"/>
      <c r="M58" s="699"/>
      <c r="N58" s="729">
        <f t="shared" si="10"/>
        <v>0</v>
      </c>
      <c r="O58" s="730"/>
      <c r="P58" s="726">
        <f t="shared" si="5"/>
        <v>0</v>
      </c>
      <c r="Q58" s="726"/>
      <c r="R58" s="726">
        <f t="shared" si="6"/>
        <v>0</v>
      </c>
      <c r="S58" s="726"/>
      <c r="T58" s="726"/>
      <c r="U58" s="726">
        <f t="shared" si="7"/>
        <v>0</v>
      </c>
      <c r="V58" s="726"/>
      <c r="W58" s="726">
        <f t="shared" si="11"/>
        <v>0</v>
      </c>
      <c r="X58" s="726"/>
    </row>
    <row r="59" spans="1:24" ht="15.75" thickBot="1">
      <c r="A59" s="755">
        <v>16</v>
      </c>
      <c r="B59" s="756" t="s">
        <v>74</v>
      </c>
      <c r="C59" s="713" t="s">
        <v>47</v>
      </c>
      <c r="D59" s="876">
        <f t="shared" si="0"/>
        <v>0</v>
      </c>
      <c r="E59" s="876">
        <f t="shared" si="1"/>
        <v>0</v>
      </c>
      <c r="F59" s="758"/>
      <c r="G59" s="759"/>
      <c r="H59" s="876"/>
      <c r="I59" s="699"/>
      <c r="J59" s="699"/>
      <c r="K59" s="876"/>
      <c r="L59" s="699"/>
      <c r="M59" s="699"/>
      <c r="N59" s="760">
        <f t="shared" si="10"/>
        <v>0</v>
      </c>
      <c r="O59" s="761"/>
      <c r="P59" s="737">
        <f t="shared" si="5"/>
        <v>0</v>
      </c>
      <c r="Q59" s="757"/>
      <c r="R59" s="737">
        <f t="shared" si="6"/>
        <v>0</v>
      </c>
      <c r="S59" s="757"/>
      <c r="T59" s="757"/>
      <c r="U59" s="737">
        <f t="shared" si="7"/>
        <v>0</v>
      </c>
      <c r="V59" s="757"/>
      <c r="W59" s="737">
        <f t="shared" si="11"/>
        <v>0</v>
      </c>
      <c r="X59" s="762"/>
    </row>
    <row r="60" spans="1:24" ht="15.75" thickBot="1">
      <c r="A60" s="763"/>
      <c r="B60" s="764"/>
      <c r="C60" s="718" t="s">
        <v>21</v>
      </c>
      <c r="D60" s="876">
        <f t="shared" si="0"/>
        <v>0</v>
      </c>
      <c r="E60" s="876">
        <f t="shared" si="1"/>
        <v>0</v>
      </c>
      <c r="F60" s="766"/>
      <c r="G60" s="767"/>
      <c r="H60" s="876"/>
      <c r="I60" s="699"/>
      <c r="J60" s="699"/>
      <c r="K60" s="876"/>
      <c r="L60" s="699"/>
      <c r="M60" s="699"/>
      <c r="N60" s="742">
        <f t="shared" si="10"/>
        <v>0</v>
      </c>
      <c r="O60" s="768"/>
      <c r="P60" s="720">
        <f t="shared" si="5"/>
        <v>0</v>
      </c>
      <c r="Q60" s="765"/>
      <c r="R60" s="720">
        <f t="shared" si="6"/>
        <v>0</v>
      </c>
      <c r="S60" s="765"/>
      <c r="T60" s="765"/>
      <c r="U60" s="720">
        <f t="shared" si="7"/>
        <v>0</v>
      </c>
      <c r="V60" s="765"/>
      <c r="W60" s="720">
        <f t="shared" si="11"/>
        <v>0</v>
      </c>
      <c r="X60" s="769"/>
    </row>
    <row r="61" spans="1:24" ht="30" customHeight="1" thickBot="1">
      <c r="A61" s="755">
        <v>17</v>
      </c>
      <c r="B61" s="770" t="s">
        <v>75</v>
      </c>
      <c r="C61" s="713" t="s">
        <v>24</v>
      </c>
      <c r="D61" s="876">
        <f t="shared" si="0"/>
        <v>0</v>
      </c>
      <c r="E61" s="876">
        <f t="shared" si="1"/>
        <v>0</v>
      </c>
      <c r="F61" s="758"/>
      <c r="G61" s="759"/>
      <c r="H61" s="876"/>
      <c r="I61" s="699"/>
      <c r="J61" s="699"/>
      <c r="K61" s="876"/>
      <c r="L61" s="699"/>
      <c r="M61" s="699"/>
      <c r="N61" s="760">
        <f t="shared" si="10"/>
        <v>0</v>
      </c>
      <c r="O61" s="761"/>
      <c r="P61" s="737">
        <f t="shared" si="5"/>
        <v>0</v>
      </c>
      <c r="Q61" s="757"/>
      <c r="R61" s="737">
        <f t="shared" si="6"/>
        <v>0</v>
      </c>
      <c r="S61" s="757"/>
      <c r="T61" s="757"/>
      <c r="U61" s="737">
        <f t="shared" si="7"/>
        <v>0</v>
      </c>
      <c r="V61" s="757"/>
      <c r="W61" s="737">
        <f t="shared" si="11"/>
        <v>0</v>
      </c>
      <c r="X61" s="762"/>
    </row>
    <row r="62" spans="1:24" ht="15.75" thickBot="1">
      <c r="A62" s="763"/>
      <c r="B62" s="771"/>
      <c r="C62" s="718" t="s">
        <v>21</v>
      </c>
      <c r="D62" s="876">
        <f t="shared" si="0"/>
        <v>0</v>
      </c>
      <c r="E62" s="876">
        <f t="shared" si="1"/>
        <v>0</v>
      </c>
      <c r="F62" s="766"/>
      <c r="G62" s="767"/>
      <c r="H62" s="876"/>
      <c r="I62" s="699"/>
      <c r="J62" s="699"/>
      <c r="K62" s="876"/>
      <c r="L62" s="699"/>
      <c r="M62" s="699"/>
      <c r="N62" s="742">
        <f t="shared" si="10"/>
        <v>0</v>
      </c>
      <c r="O62" s="768"/>
      <c r="P62" s="720">
        <f t="shared" si="5"/>
        <v>0</v>
      </c>
      <c r="Q62" s="765"/>
      <c r="R62" s="720">
        <f t="shared" si="6"/>
        <v>0</v>
      </c>
      <c r="S62" s="765"/>
      <c r="T62" s="765"/>
      <c r="U62" s="720">
        <f t="shared" si="7"/>
        <v>0</v>
      </c>
      <c r="V62" s="765"/>
      <c r="W62" s="720">
        <f t="shared" si="11"/>
        <v>0</v>
      </c>
      <c r="X62" s="769"/>
    </row>
    <row r="63" spans="1:24" ht="15.75" thickBot="1">
      <c r="A63" s="755">
        <v>18</v>
      </c>
      <c r="B63" s="756" t="s">
        <v>76</v>
      </c>
      <c r="C63" s="713" t="s">
        <v>47</v>
      </c>
      <c r="D63" s="876">
        <f t="shared" si="0"/>
        <v>0</v>
      </c>
      <c r="E63" s="876">
        <f t="shared" si="1"/>
        <v>0</v>
      </c>
      <c r="F63" s="758"/>
      <c r="G63" s="759"/>
      <c r="H63" s="876"/>
      <c r="I63" s="699"/>
      <c r="J63" s="699"/>
      <c r="K63" s="876"/>
      <c r="L63" s="699"/>
      <c r="M63" s="699"/>
      <c r="N63" s="760">
        <f t="shared" si="10"/>
        <v>0</v>
      </c>
      <c r="O63" s="761"/>
      <c r="P63" s="737">
        <f t="shared" si="5"/>
        <v>0</v>
      </c>
      <c r="Q63" s="757"/>
      <c r="R63" s="737">
        <f t="shared" si="6"/>
        <v>0</v>
      </c>
      <c r="S63" s="757"/>
      <c r="T63" s="757"/>
      <c r="U63" s="737">
        <f t="shared" si="7"/>
        <v>0</v>
      </c>
      <c r="V63" s="757"/>
      <c r="W63" s="737">
        <f t="shared" si="11"/>
        <v>0</v>
      </c>
      <c r="X63" s="762"/>
    </row>
    <row r="64" spans="1:24" ht="15.75" thickBot="1">
      <c r="A64" s="763"/>
      <c r="B64" s="764"/>
      <c r="C64" s="718" t="s">
        <v>21</v>
      </c>
      <c r="D64" s="876">
        <f t="shared" si="0"/>
        <v>0</v>
      </c>
      <c r="E64" s="876">
        <f t="shared" si="1"/>
        <v>0</v>
      </c>
      <c r="F64" s="766"/>
      <c r="G64" s="767"/>
      <c r="H64" s="876"/>
      <c r="I64" s="699"/>
      <c r="J64" s="699"/>
      <c r="K64" s="876"/>
      <c r="L64" s="699"/>
      <c r="M64" s="699"/>
      <c r="N64" s="742">
        <f t="shared" si="10"/>
        <v>0</v>
      </c>
      <c r="O64" s="768"/>
      <c r="P64" s="720">
        <f t="shared" si="5"/>
        <v>0</v>
      </c>
      <c r="Q64" s="765"/>
      <c r="R64" s="720">
        <f t="shared" si="6"/>
        <v>0</v>
      </c>
      <c r="S64" s="765"/>
      <c r="T64" s="765"/>
      <c r="U64" s="720">
        <f t="shared" si="7"/>
        <v>0</v>
      </c>
      <c r="V64" s="765"/>
      <c r="W64" s="720">
        <f t="shared" si="11"/>
        <v>0</v>
      </c>
      <c r="X64" s="769"/>
    </row>
    <row r="65" spans="1:24" ht="15.75" thickBot="1">
      <c r="A65" s="755">
        <v>19</v>
      </c>
      <c r="B65" s="756" t="s">
        <v>77</v>
      </c>
      <c r="C65" s="713" t="s">
        <v>47</v>
      </c>
      <c r="D65" s="876">
        <f t="shared" si="0"/>
        <v>0</v>
      </c>
      <c r="E65" s="876">
        <f t="shared" si="1"/>
        <v>0</v>
      </c>
      <c r="F65" s="758"/>
      <c r="G65" s="759"/>
      <c r="H65" s="876"/>
      <c r="I65" s="699"/>
      <c r="J65" s="699"/>
      <c r="K65" s="876"/>
      <c r="L65" s="699"/>
      <c r="M65" s="699"/>
      <c r="N65" s="760">
        <f t="shared" si="10"/>
        <v>0</v>
      </c>
      <c r="O65" s="761"/>
      <c r="P65" s="737">
        <f t="shared" si="5"/>
        <v>0</v>
      </c>
      <c r="Q65" s="757"/>
      <c r="R65" s="737">
        <f t="shared" si="6"/>
        <v>0</v>
      </c>
      <c r="S65" s="757"/>
      <c r="T65" s="757"/>
      <c r="U65" s="737">
        <f t="shared" si="7"/>
        <v>0</v>
      </c>
      <c r="V65" s="757"/>
      <c r="W65" s="737">
        <f t="shared" si="11"/>
        <v>0</v>
      </c>
      <c r="X65" s="762"/>
    </row>
    <row r="66" spans="1:24" ht="15.75" thickBot="1">
      <c r="A66" s="763"/>
      <c r="B66" s="764"/>
      <c r="C66" s="718" t="s">
        <v>21</v>
      </c>
      <c r="D66" s="876">
        <f t="shared" si="0"/>
        <v>0</v>
      </c>
      <c r="E66" s="876">
        <f t="shared" si="1"/>
        <v>0</v>
      </c>
      <c r="F66" s="766"/>
      <c r="G66" s="767"/>
      <c r="H66" s="876"/>
      <c r="I66" s="699"/>
      <c r="J66" s="699"/>
      <c r="K66" s="876"/>
      <c r="L66" s="699"/>
      <c r="M66" s="699"/>
      <c r="N66" s="742">
        <f t="shared" si="10"/>
        <v>0</v>
      </c>
      <c r="O66" s="768"/>
      <c r="P66" s="720">
        <f t="shared" si="5"/>
        <v>0</v>
      </c>
      <c r="Q66" s="765"/>
      <c r="R66" s="720">
        <f t="shared" si="6"/>
        <v>0</v>
      </c>
      <c r="S66" s="765"/>
      <c r="T66" s="765"/>
      <c r="U66" s="720">
        <f t="shared" si="7"/>
        <v>0</v>
      </c>
      <c r="V66" s="765"/>
      <c r="W66" s="720">
        <f t="shared" si="11"/>
        <v>0</v>
      </c>
      <c r="X66" s="769"/>
    </row>
    <row r="67" spans="1:24" ht="23.25" customHeight="1" thickBot="1">
      <c r="A67" s="755">
        <v>20</v>
      </c>
      <c r="B67" s="770" t="s">
        <v>78</v>
      </c>
      <c r="C67" s="713" t="s">
        <v>79</v>
      </c>
      <c r="D67" s="876">
        <f t="shared" si="0"/>
        <v>0</v>
      </c>
      <c r="E67" s="876">
        <f t="shared" si="1"/>
        <v>0</v>
      </c>
      <c r="F67" s="758"/>
      <c r="G67" s="759"/>
      <c r="H67" s="876"/>
      <c r="I67" s="699"/>
      <c r="J67" s="699"/>
      <c r="K67" s="876"/>
      <c r="L67" s="699"/>
      <c r="M67" s="699"/>
      <c r="N67" s="760">
        <f t="shared" si="10"/>
        <v>0</v>
      </c>
      <c r="O67" s="761"/>
      <c r="P67" s="737">
        <f t="shared" si="5"/>
        <v>0</v>
      </c>
      <c r="Q67" s="757"/>
      <c r="R67" s="737">
        <f t="shared" si="6"/>
        <v>0</v>
      </c>
      <c r="S67" s="757"/>
      <c r="T67" s="757"/>
      <c r="U67" s="737">
        <f t="shared" si="7"/>
        <v>0</v>
      </c>
      <c r="V67" s="757"/>
      <c r="W67" s="737">
        <f t="shared" si="11"/>
        <v>0</v>
      </c>
      <c r="X67" s="762"/>
    </row>
    <row r="68" spans="1:24" ht="15.75" thickBot="1">
      <c r="A68" s="763"/>
      <c r="B68" s="764"/>
      <c r="C68" s="718" t="s">
        <v>21</v>
      </c>
      <c r="D68" s="876">
        <f t="shared" si="0"/>
        <v>0</v>
      </c>
      <c r="E68" s="876">
        <f t="shared" si="1"/>
        <v>0</v>
      </c>
      <c r="F68" s="766"/>
      <c r="G68" s="767"/>
      <c r="H68" s="876"/>
      <c r="I68" s="699"/>
      <c r="J68" s="699"/>
      <c r="K68" s="876"/>
      <c r="L68" s="699"/>
      <c r="M68" s="699"/>
      <c r="N68" s="742">
        <f t="shared" si="10"/>
        <v>0</v>
      </c>
      <c r="O68" s="768"/>
      <c r="P68" s="720">
        <f t="shared" si="5"/>
        <v>0</v>
      </c>
      <c r="Q68" s="765"/>
      <c r="R68" s="720">
        <f t="shared" si="6"/>
        <v>0</v>
      </c>
      <c r="S68" s="765"/>
      <c r="T68" s="765"/>
      <c r="U68" s="720">
        <f t="shared" si="7"/>
        <v>0</v>
      </c>
      <c r="V68" s="765"/>
      <c r="W68" s="720">
        <f t="shared" si="11"/>
        <v>0</v>
      </c>
      <c r="X68" s="769"/>
    </row>
    <row r="69" spans="1:24" ht="23.25" customHeight="1" thickBot="1">
      <c r="A69" s="755">
        <v>21</v>
      </c>
      <c r="B69" s="770" t="s">
        <v>80</v>
      </c>
      <c r="C69" s="713" t="s">
        <v>24</v>
      </c>
      <c r="D69" s="876">
        <f t="shared" si="0"/>
        <v>0</v>
      </c>
      <c r="E69" s="876">
        <f t="shared" si="1"/>
        <v>0</v>
      </c>
      <c r="F69" s="758"/>
      <c r="G69" s="759"/>
      <c r="H69" s="876"/>
      <c r="I69" s="699"/>
      <c r="J69" s="699"/>
      <c r="K69" s="876"/>
      <c r="L69" s="699"/>
      <c r="M69" s="699"/>
      <c r="N69" s="760">
        <f t="shared" si="10"/>
        <v>0</v>
      </c>
      <c r="O69" s="761"/>
      <c r="P69" s="737">
        <f t="shared" si="5"/>
        <v>0</v>
      </c>
      <c r="Q69" s="757"/>
      <c r="R69" s="737">
        <f t="shared" si="6"/>
        <v>0</v>
      </c>
      <c r="S69" s="757"/>
      <c r="T69" s="757"/>
      <c r="U69" s="737">
        <f t="shared" si="7"/>
        <v>0</v>
      </c>
      <c r="V69" s="757"/>
      <c r="W69" s="737">
        <f t="shared" si="11"/>
        <v>0</v>
      </c>
      <c r="X69" s="762"/>
    </row>
    <row r="70" spans="1:24" ht="15.75" thickBot="1">
      <c r="A70" s="763"/>
      <c r="B70" s="764"/>
      <c r="C70" s="718" t="s">
        <v>21</v>
      </c>
      <c r="D70" s="876">
        <f t="shared" si="0"/>
        <v>0</v>
      </c>
      <c r="E70" s="876">
        <f t="shared" si="1"/>
        <v>0</v>
      </c>
      <c r="F70" s="766"/>
      <c r="G70" s="767"/>
      <c r="H70" s="876"/>
      <c r="I70" s="699"/>
      <c r="J70" s="699"/>
      <c r="K70" s="876"/>
      <c r="L70" s="699"/>
      <c r="M70" s="699"/>
      <c r="N70" s="742">
        <f t="shared" si="10"/>
        <v>0</v>
      </c>
      <c r="O70" s="768"/>
      <c r="P70" s="720">
        <f t="shared" si="5"/>
        <v>0</v>
      </c>
      <c r="Q70" s="765"/>
      <c r="R70" s="720">
        <f t="shared" si="6"/>
        <v>0</v>
      </c>
      <c r="S70" s="765"/>
      <c r="T70" s="765"/>
      <c r="U70" s="720">
        <f t="shared" si="7"/>
        <v>0</v>
      </c>
      <c r="V70" s="765"/>
      <c r="W70" s="720">
        <f t="shared" si="11"/>
        <v>0</v>
      </c>
      <c r="X70" s="769"/>
    </row>
    <row r="71" spans="1:24" ht="16.5" thickTop="1" thickBot="1">
      <c r="A71" s="772" t="s">
        <v>81</v>
      </c>
      <c r="B71" s="773" t="s">
        <v>82</v>
      </c>
      <c r="C71" s="774" t="s">
        <v>21</v>
      </c>
      <c r="D71" s="876">
        <f>D73+D83+D85</f>
        <v>494.80900000000003</v>
      </c>
      <c r="E71" s="876">
        <f t="shared" si="1"/>
        <v>0</v>
      </c>
      <c r="F71" s="775">
        <f t="shared" ref="F71:X71" si="13">F73+F83+F85</f>
        <v>0</v>
      </c>
      <c r="G71" s="776">
        <f t="shared" si="13"/>
        <v>0</v>
      </c>
      <c r="H71" s="893">
        <f>H73+H83+H85</f>
        <v>480.05100000000004</v>
      </c>
      <c r="I71" s="777">
        <f>I73+I83+I85</f>
        <v>480.05100000000004</v>
      </c>
      <c r="J71" s="777">
        <f>J73+J83+J85</f>
        <v>0</v>
      </c>
      <c r="K71" s="940">
        <f>K73+K83+K85</f>
        <v>14.758000000000001</v>
      </c>
      <c r="L71" s="778">
        <f>L73+L83+L85</f>
        <v>14.758000000000001</v>
      </c>
      <c r="M71" s="778"/>
      <c r="N71" s="775">
        <f t="shared" si="13"/>
        <v>0</v>
      </c>
      <c r="O71" s="775">
        <f t="shared" si="13"/>
        <v>0</v>
      </c>
      <c r="P71" s="775">
        <f t="shared" si="13"/>
        <v>0</v>
      </c>
      <c r="Q71" s="775">
        <f t="shared" si="13"/>
        <v>0</v>
      </c>
      <c r="R71" s="775">
        <f t="shared" si="13"/>
        <v>0</v>
      </c>
      <c r="S71" s="775">
        <f t="shared" si="13"/>
        <v>0</v>
      </c>
      <c r="T71" s="775">
        <f t="shared" si="13"/>
        <v>0</v>
      </c>
      <c r="U71" s="775">
        <f t="shared" si="13"/>
        <v>0</v>
      </c>
      <c r="V71" s="775">
        <f t="shared" si="13"/>
        <v>0</v>
      </c>
      <c r="W71" s="775">
        <f t="shared" si="13"/>
        <v>0</v>
      </c>
      <c r="X71" s="775">
        <f t="shared" si="13"/>
        <v>0</v>
      </c>
    </row>
    <row r="72" spans="1:24" ht="16.5" thickTop="1" thickBot="1">
      <c r="A72" s="707">
        <v>18</v>
      </c>
      <c r="B72" s="779" t="s">
        <v>83</v>
      </c>
      <c r="C72" s="780" t="s">
        <v>51</v>
      </c>
      <c r="D72" s="876">
        <f>H72+K72</f>
        <v>0.27975000000000005</v>
      </c>
      <c r="E72" s="876">
        <f t="shared" si="1"/>
        <v>0</v>
      </c>
      <c r="F72" s="694">
        <f t="shared" ref="F72:G73" si="14">F74+F76+F78+F80</f>
        <v>0</v>
      </c>
      <c r="G72" s="694">
        <f t="shared" si="14"/>
        <v>0</v>
      </c>
      <c r="H72" s="890">
        <f t="shared" ref="H72:H85" si="15">I72</f>
        <v>0.26975000000000005</v>
      </c>
      <c r="I72" s="781">
        <f>I74+I76+I78+I80</f>
        <v>0.26975000000000005</v>
      </c>
      <c r="J72" s="781"/>
      <c r="K72" s="939">
        <f>L72</f>
        <v>0.01</v>
      </c>
      <c r="L72" s="781">
        <f>L74+L80</f>
        <v>0.01</v>
      </c>
      <c r="M72" s="781"/>
      <c r="N72" s="782">
        <f t="shared" ref="N72:X73" si="16">N74+N76+N78+N80</f>
        <v>0</v>
      </c>
      <c r="O72" s="694">
        <f t="shared" si="16"/>
        <v>0</v>
      </c>
      <c r="P72" s="694">
        <f t="shared" si="16"/>
        <v>0</v>
      </c>
      <c r="Q72" s="694">
        <f t="shared" si="16"/>
        <v>0</v>
      </c>
      <c r="R72" s="694">
        <f t="shared" si="16"/>
        <v>0</v>
      </c>
      <c r="S72" s="694">
        <f t="shared" si="16"/>
        <v>0</v>
      </c>
      <c r="T72" s="694">
        <f t="shared" si="16"/>
        <v>0</v>
      </c>
      <c r="U72" s="694">
        <f t="shared" si="16"/>
        <v>0</v>
      </c>
      <c r="V72" s="694">
        <f t="shared" si="16"/>
        <v>0</v>
      </c>
      <c r="W72" s="694">
        <f t="shared" si="16"/>
        <v>0</v>
      </c>
      <c r="X72" s="694">
        <f t="shared" si="16"/>
        <v>0</v>
      </c>
    </row>
    <row r="73" spans="1:24" ht="15.75" thickBot="1">
      <c r="A73" s="783"/>
      <c r="B73" s="779" t="s">
        <v>84</v>
      </c>
      <c r="C73" s="784" t="s">
        <v>21</v>
      </c>
      <c r="D73" s="876">
        <f>D75+D77+D79+D81</f>
        <v>400.404</v>
      </c>
      <c r="E73" s="876">
        <f t="shared" si="1"/>
        <v>0</v>
      </c>
      <c r="F73" s="694">
        <f t="shared" si="14"/>
        <v>0</v>
      </c>
      <c r="G73" s="694">
        <f t="shared" si="14"/>
        <v>0</v>
      </c>
      <c r="H73" s="890">
        <f t="shared" si="15"/>
        <v>385.64600000000002</v>
      </c>
      <c r="I73" s="781">
        <f>I75+I77+I79+I81</f>
        <v>385.64600000000002</v>
      </c>
      <c r="J73" s="781"/>
      <c r="K73" s="939">
        <f>L73</f>
        <v>14.758000000000001</v>
      </c>
      <c r="L73" s="781">
        <f>L75+L81</f>
        <v>14.758000000000001</v>
      </c>
      <c r="M73" s="781"/>
      <c r="N73" s="782">
        <f t="shared" si="16"/>
        <v>0</v>
      </c>
      <c r="O73" s="694">
        <f t="shared" si="16"/>
        <v>0</v>
      </c>
      <c r="P73" s="694">
        <f t="shared" si="16"/>
        <v>0</v>
      </c>
      <c r="Q73" s="694">
        <f t="shared" si="16"/>
        <v>0</v>
      </c>
      <c r="R73" s="694">
        <f t="shared" si="16"/>
        <v>0</v>
      </c>
      <c r="S73" s="694">
        <f t="shared" si="16"/>
        <v>0</v>
      </c>
      <c r="T73" s="694">
        <f t="shared" si="16"/>
        <v>0</v>
      </c>
      <c r="U73" s="694">
        <f t="shared" si="16"/>
        <v>0</v>
      </c>
      <c r="V73" s="694">
        <f t="shared" si="16"/>
        <v>0</v>
      </c>
      <c r="W73" s="694">
        <f t="shared" si="16"/>
        <v>0</v>
      </c>
      <c r="X73" s="694">
        <f t="shared" si="16"/>
        <v>0</v>
      </c>
    </row>
    <row r="74" spans="1:24" ht="15.75" thickBot="1">
      <c r="A74" s="785" t="s">
        <v>85</v>
      </c>
      <c r="B74" s="786" t="s">
        <v>86</v>
      </c>
      <c r="C74" s="784" t="s">
        <v>87</v>
      </c>
      <c r="D74" s="876">
        <f t="shared" ref="D74:D85" si="17">I74+L74</f>
        <v>6.0000000000000001E-3</v>
      </c>
      <c r="E74" s="876">
        <f t="shared" si="1"/>
        <v>0</v>
      </c>
      <c r="F74" s="699"/>
      <c r="G74" s="699"/>
      <c r="H74" s="890">
        <f t="shared" si="15"/>
        <v>4.0000000000000001E-3</v>
      </c>
      <c r="I74" s="688">
        <f>0.004</f>
        <v>4.0000000000000001E-3</v>
      </c>
      <c r="J74" s="688"/>
      <c r="K74" s="939">
        <f>L74</f>
        <v>2E-3</v>
      </c>
      <c r="L74" s="688">
        <f>0.002</f>
        <v>2E-3</v>
      </c>
      <c r="M74" s="688"/>
      <c r="N74" s="714">
        <f t="shared" ref="N74:N85" si="18">O74</f>
        <v>0</v>
      </c>
      <c r="O74" s="787"/>
      <c r="P74" s="698">
        <f t="shared" ref="P74:P85" si="19">Q74</f>
        <v>0</v>
      </c>
      <c r="Q74" s="698"/>
      <c r="R74" s="698">
        <f t="shared" ref="R74:R85" si="20">S74+T74</f>
        <v>0</v>
      </c>
      <c r="S74" s="698"/>
      <c r="T74" s="698"/>
      <c r="U74" s="698">
        <f t="shared" ref="U74:U85" si="21">V74</f>
        <v>0</v>
      </c>
      <c r="V74" s="698"/>
      <c r="W74" s="698">
        <f t="shared" ref="W74:W85" si="22">X74</f>
        <v>0</v>
      </c>
      <c r="X74" s="698"/>
    </row>
    <row r="75" spans="1:24" ht="15.75" thickBot="1">
      <c r="A75" s="788"/>
      <c r="B75" s="786"/>
      <c r="C75" s="784" t="s">
        <v>21</v>
      </c>
      <c r="D75" s="876">
        <f t="shared" si="17"/>
        <v>6.407</v>
      </c>
      <c r="E75" s="876">
        <f t="shared" si="1"/>
        <v>0</v>
      </c>
      <c r="F75" s="699"/>
      <c r="G75" s="699"/>
      <c r="H75" s="890">
        <f t="shared" si="15"/>
        <v>4.1870000000000003</v>
      </c>
      <c r="I75" s="688">
        <f>4.187</f>
        <v>4.1870000000000003</v>
      </c>
      <c r="J75" s="688"/>
      <c r="K75" s="939">
        <f>L75</f>
        <v>2.2200000000000002</v>
      </c>
      <c r="L75" s="688">
        <f>2.22</f>
        <v>2.2200000000000002</v>
      </c>
      <c r="M75" s="688"/>
      <c r="N75" s="714">
        <f t="shared" si="18"/>
        <v>0</v>
      </c>
      <c r="O75" s="787"/>
      <c r="P75" s="698">
        <f t="shared" si="19"/>
        <v>0</v>
      </c>
      <c r="Q75" s="698"/>
      <c r="R75" s="698">
        <f t="shared" si="20"/>
        <v>0</v>
      </c>
      <c r="S75" s="698"/>
      <c r="T75" s="698"/>
      <c r="U75" s="698">
        <f t="shared" si="21"/>
        <v>0</v>
      </c>
      <c r="V75" s="698"/>
      <c r="W75" s="698">
        <f t="shared" si="22"/>
        <v>0</v>
      </c>
      <c r="X75" s="698"/>
    </row>
    <row r="76" spans="1:24" ht="15.75" thickBot="1">
      <c r="A76" s="785" t="s">
        <v>88</v>
      </c>
      <c r="B76" s="786" t="s">
        <v>89</v>
      </c>
      <c r="C76" s="784" t="s">
        <v>51</v>
      </c>
      <c r="D76" s="876">
        <f t="shared" si="17"/>
        <v>0.12310000000000006</v>
      </c>
      <c r="E76" s="876">
        <f t="shared" si="1"/>
        <v>0</v>
      </c>
      <c r="F76" s="699"/>
      <c r="G76" s="699"/>
      <c r="H76" s="890">
        <f t="shared" si="15"/>
        <v>0.12310000000000006</v>
      </c>
      <c r="I76" s="688">
        <f>0.003+0.022+0.006+0.008+0.008+0.022+0.007+0.002+0.008+0.0002+0.001+0.006+0.001+0.008+0.004+0.002+0.001+0.0035+0.0013+0.001+0.0045+0.0001+0.0035</f>
        <v>0.12310000000000006</v>
      </c>
      <c r="J76" s="688"/>
      <c r="K76" s="939"/>
      <c r="L76" s="688"/>
      <c r="M76" s="688"/>
      <c r="N76" s="714">
        <f t="shared" si="18"/>
        <v>0</v>
      </c>
      <c r="O76" s="787"/>
      <c r="P76" s="698">
        <f t="shared" si="19"/>
        <v>0</v>
      </c>
      <c r="Q76" s="698"/>
      <c r="R76" s="698">
        <f t="shared" si="20"/>
        <v>0</v>
      </c>
      <c r="S76" s="698"/>
      <c r="T76" s="698"/>
      <c r="U76" s="698">
        <f t="shared" si="21"/>
        <v>0</v>
      </c>
      <c r="V76" s="698"/>
      <c r="W76" s="698">
        <f t="shared" si="22"/>
        <v>0</v>
      </c>
      <c r="X76" s="698"/>
    </row>
    <row r="77" spans="1:24" ht="15.75" thickBot="1">
      <c r="A77" s="788"/>
      <c r="B77" s="786"/>
      <c r="C77" s="784" t="s">
        <v>21</v>
      </c>
      <c r="D77" s="876">
        <f t="shared" si="17"/>
        <v>172.81399999999999</v>
      </c>
      <c r="E77" s="876">
        <f t="shared" si="1"/>
        <v>0</v>
      </c>
      <c r="F77" s="699"/>
      <c r="G77" s="699"/>
      <c r="H77" s="890">
        <f t="shared" si="15"/>
        <v>172.81399999999999</v>
      </c>
      <c r="I77" s="688">
        <f>1.961+61.427+7.72+44.584+10.136+2.083+8.016+0.306+7.615+9.54+4.391+2.243+3.392+2.841+0.856+2.905+0.548+2.25</f>
        <v>172.81399999999999</v>
      </c>
      <c r="J77" s="688"/>
      <c r="K77" s="939"/>
      <c r="L77" s="789"/>
      <c r="M77" s="688"/>
      <c r="N77" s="714">
        <f t="shared" si="18"/>
        <v>0</v>
      </c>
      <c r="O77" s="787"/>
      <c r="P77" s="698">
        <f t="shared" si="19"/>
        <v>0</v>
      </c>
      <c r="Q77" s="698"/>
      <c r="R77" s="698">
        <f t="shared" si="20"/>
        <v>0</v>
      </c>
      <c r="S77" s="698"/>
      <c r="T77" s="698"/>
      <c r="U77" s="698">
        <f t="shared" si="21"/>
        <v>0</v>
      </c>
      <c r="V77" s="698"/>
      <c r="W77" s="698">
        <f t="shared" si="22"/>
        <v>0</v>
      </c>
      <c r="X77" s="698"/>
    </row>
    <row r="78" spans="1:24" ht="15.75" thickBot="1">
      <c r="A78" s="785" t="s">
        <v>90</v>
      </c>
      <c r="B78" s="786" t="s">
        <v>91</v>
      </c>
      <c r="C78" s="784" t="s">
        <v>51</v>
      </c>
      <c r="D78" s="876">
        <f t="shared" si="17"/>
        <v>0.10270000000000001</v>
      </c>
      <c r="E78" s="876">
        <f t="shared" ref="E78:E97" si="23">F78+G78</f>
        <v>0</v>
      </c>
      <c r="F78" s="699"/>
      <c r="G78" s="699"/>
      <c r="H78" s="890">
        <f t="shared" si="15"/>
        <v>0.10270000000000001</v>
      </c>
      <c r="I78" s="688">
        <f>0.0045+0.006+0.002+0.0007+0.0005+0.006+0.028+0.008+0.004+0.008+0.003+0.002+0.0008+0.0015+0.009+0.009+0.001+0.0008+0.0002+0.0001+0.006+0.001+0.0006</f>
        <v>0.10270000000000001</v>
      </c>
      <c r="J78" s="688"/>
      <c r="K78" s="939"/>
      <c r="L78" s="688"/>
      <c r="M78" s="688"/>
      <c r="N78" s="714">
        <f t="shared" si="18"/>
        <v>0</v>
      </c>
      <c r="O78" s="787"/>
      <c r="P78" s="698">
        <f t="shared" si="19"/>
        <v>0</v>
      </c>
      <c r="Q78" s="698"/>
      <c r="R78" s="698">
        <f t="shared" si="20"/>
        <v>0</v>
      </c>
      <c r="S78" s="698"/>
      <c r="T78" s="698"/>
      <c r="U78" s="698">
        <f t="shared" si="21"/>
        <v>0</v>
      </c>
      <c r="V78" s="698"/>
      <c r="W78" s="698">
        <f t="shared" si="22"/>
        <v>0</v>
      </c>
      <c r="X78" s="698"/>
    </row>
    <row r="79" spans="1:24" ht="15.75" thickBot="1">
      <c r="A79" s="788"/>
      <c r="B79" s="786"/>
      <c r="C79" s="784" t="s">
        <v>21</v>
      </c>
      <c r="D79" s="876">
        <f t="shared" si="17"/>
        <v>139.292</v>
      </c>
      <c r="E79" s="876">
        <f t="shared" si="23"/>
        <v>0</v>
      </c>
      <c r="F79" s="699"/>
      <c r="G79" s="699"/>
      <c r="H79" s="890">
        <f t="shared" si="15"/>
        <v>139.292</v>
      </c>
      <c r="I79" s="688">
        <f>9.524+8.655+3.263+5.992+44.117+5.941+4.21+8.408+4.472+2.293+1.22+1.193+4.791+19.09+1.75+1.749+0.438+0.218+8.685+1.971+1.312</f>
        <v>139.292</v>
      </c>
      <c r="J79" s="688"/>
      <c r="K79" s="939"/>
      <c r="L79" s="688"/>
      <c r="M79" s="688"/>
      <c r="N79" s="714">
        <f t="shared" si="18"/>
        <v>0</v>
      </c>
      <c r="O79" s="787"/>
      <c r="P79" s="698">
        <f t="shared" si="19"/>
        <v>0</v>
      </c>
      <c r="Q79" s="698"/>
      <c r="R79" s="698">
        <f t="shared" si="20"/>
        <v>0</v>
      </c>
      <c r="S79" s="698"/>
      <c r="T79" s="698"/>
      <c r="U79" s="698">
        <f t="shared" si="21"/>
        <v>0</v>
      </c>
      <c r="V79" s="698"/>
      <c r="W79" s="698">
        <f t="shared" si="22"/>
        <v>0</v>
      </c>
      <c r="X79" s="698"/>
    </row>
    <row r="80" spans="1:24" ht="15.75" thickBot="1">
      <c r="A80" s="785" t="s">
        <v>92</v>
      </c>
      <c r="B80" s="786" t="s">
        <v>93</v>
      </c>
      <c r="C80" s="784" t="s">
        <v>51</v>
      </c>
      <c r="D80" s="876">
        <f t="shared" si="17"/>
        <v>4.7949999999999993E-2</v>
      </c>
      <c r="E80" s="876">
        <f t="shared" si="23"/>
        <v>0</v>
      </c>
      <c r="F80" s="699"/>
      <c r="G80" s="699"/>
      <c r="H80" s="890">
        <f t="shared" si="15"/>
        <v>3.9949999999999992E-2</v>
      </c>
      <c r="I80" s="688">
        <f>0.002+0.002+0.0006+0.00035+0.001+0.011+0.0055+0.011+0.002+0.0045</f>
        <v>3.9949999999999992E-2</v>
      </c>
      <c r="J80" s="688"/>
      <c r="K80" s="939">
        <f>L80</f>
        <v>8.0000000000000002E-3</v>
      </c>
      <c r="L80" s="688">
        <f>0.008</f>
        <v>8.0000000000000002E-3</v>
      </c>
      <c r="M80" s="688"/>
      <c r="N80" s="714">
        <f t="shared" si="18"/>
        <v>0</v>
      </c>
      <c r="O80" s="787"/>
      <c r="P80" s="698">
        <f t="shared" si="19"/>
        <v>0</v>
      </c>
      <c r="Q80" s="698"/>
      <c r="R80" s="698">
        <f t="shared" si="20"/>
        <v>0</v>
      </c>
      <c r="S80" s="698"/>
      <c r="T80" s="698"/>
      <c r="U80" s="698">
        <f t="shared" si="21"/>
        <v>0</v>
      </c>
      <c r="V80" s="698"/>
      <c r="W80" s="698">
        <f t="shared" si="22"/>
        <v>0</v>
      </c>
      <c r="X80" s="698"/>
    </row>
    <row r="81" spans="1:24" ht="15.75" thickBot="1">
      <c r="A81" s="717"/>
      <c r="B81" s="790"/>
      <c r="C81" s="791" t="s">
        <v>21</v>
      </c>
      <c r="D81" s="876">
        <f t="shared" si="17"/>
        <v>81.890999999999991</v>
      </c>
      <c r="E81" s="876">
        <f t="shared" si="23"/>
        <v>0</v>
      </c>
      <c r="F81" s="699"/>
      <c r="G81" s="699"/>
      <c r="H81" s="890">
        <f t="shared" si="15"/>
        <v>69.352999999999994</v>
      </c>
      <c r="I81" s="688">
        <f>3.265+3.342+0.326+0.19+0.543+27.259+2.988+27.908+1.087+2.445</f>
        <v>69.352999999999994</v>
      </c>
      <c r="J81" s="688"/>
      <c r="K81" s="939">
        <f>L81</f>
        <v>12.538</v>
      </c>
      <c r="L81" s="688">
        <f>12.538</f>
        <v>12.538</v>
      </c>
      <c r="M81" s="688"/>
      <c r="N81" s="714">
        <f t="shared" si="18"/>
        <v>0</v>
      </c>
      <c r="O81" s="719"/>
      <c r="P81" s="698">
        <f t="shared" si="19"/>
        <v>0</v>
      </c>
      <c r="Q81" s="726"/>
      <c r="R81" s="698">
        <f t="shared" si="20"/>
        <v>0</v>
      </c>
      <c r="S81" s="726"/>
      <c r="T81" s="726"/>
      <c r="U81" s="698">
        <f t="shared" si="21"/>
        <v>0</v>
      </c>
      <c r="V81" s="726"/>
      <c r="W81" s="698">
        <f t="shared" si="22"/>
        <v>0</v>
      </c>
      <c r="X81" s="726"/>
    </row>
    <row r="82" spans="1:24" ht="15.75" thickBot="1">
      <c r="A82" s="711">
        <v>19</v>
      </c>
      <c r="B82" s="792" t="s">
        <v>94</v>
      </c>
      <c r="C82" s="793" t="s">
        <v>47</v>
      </c>
      <c r="D82" s="876">
        <f t="shared" si="17"/>
        <v>3</v>
      </c>
      <c r="E82" s="876">
        <f t="shared" si="23"/>
        <v>0</v>
      </c>
      <c r="F82" s="699"/>
      <c r="G82" s="699"/>
      <c r="H82" s="890">
        <f t="shared" si="15"/>
        <v>3</v>
      </c>
      <c r="I82" s="688">
        <f>1+1+1</f>
        <v>3</v>
      </c>
      <c r="J82" s="688"/>
      <c r="K82" s="939"/>
      <c r="L82" s="688"/>
      <c r="M82" s="688"/>
      <c r="N82" s="714">
        <f t="shared" si="18"/>
        <v>0</v>
      </c>
      <c r="O82" s="736"/>
      <c r="P82" s="698">
        <f t="shared" si="19"/>
        <v>0</v>
      </c>
      <c r="Q82" s="722"/>
      <c r="R82" s="698">
        <f t="shared" si="20"/>
        <v>0</v>
      </c>
      <c r="S82" s="722"/>
      <c r="T82" s="722"/>
      <c r="U82" s="698">
        <f t="shared" si="21"/>
        <v>0</v>
      </c>
      <c r="V82" s="722"/>
      <c r="W82" s="698">
        <f t="shared" si="22"/>
        <v>0</v>
      </c>
      <c r="X82" s="722"/>
    </row>
    <row r="83" spans="1:24" ht="15.75" thickBot="1">
      <c r="A83" s="717"/>
      <c r="B83" s="790"/>
      <c r="C83" s="794" t="s">
        <v>21</v>
      </c>
      <c r="D83" s="876">
        <f t="shared" si="17"/>
        <v>18.081000000000003</v>
      </c>
      <c r="E83" s="876">
        <f t="shared" si="23"/>
        <v>0</v>
      </c>
      <c r="F83" s="699"/>
      <c r="G83" s="699"/>
      <c r="H83" s="890">
        <f t="shared" si="15"/>
        <v>18.081000000000003</v>
      </c>
      <c r="I83" s="688">
        <f>5.44+6.288+6.353</f>
        <v>18.081000000000003</v>
      </c>
      <c r="J83" s="688"/>
      <c r="K83" s="939"/>
      <c r="L83" s="688"/>
      <c r="M83" s="688"/>
      <c r="N83" s="714">
        <f t="shared" si="18"/>
        <v>0</v>
      </c>
      <c r="O83" s="719"/>
      <c r="P83" s="698">
        <f t="shared" si="19"/>
        <v>0</v>
      </c>
      <c r="Q83" s="720"/>
      <c r="R83" s="698">
        <f t="shared" si="20"/>
        <v>0</v>
      </c>
      <c r="S83" s="720"/>
      <c r="T83" s="720"/>
      <c r="U83" s="698">
        <f t="shared" si="21"/>
        <v>0</v>
      </c>
      <c r="V83" s="720"/>
      <c r="W83" s="698">
        <f t="shared" si="22"/>
        <v>0</v>
      </c>
      <c r="X83" s="720"/>
    </row>
    <row r="84" spans="1:24" ht="15.75" thickBot="1">
      <c r="A84" s="795" t="s">
        <v>95</v>
      </c>
      <c r="B84" s="792" t="s">
        <v>197</v>
      </c>
      <c r="C84" s="793" t="s">
        <v>47</v>
      </c>
      <c r="D84" s="876">
        <f t="shared" si="17"/>
        <v>76</v>
      </c>
      <c r="E84" s="876">
        <f t="shared" si="23"/>
        <v>0</v>
      </c>
      <c r="F84" s="699"/>
      <c r="G84" s="699"/>
      <c r="H84" s="890">
        <f t="shared" si="15"/>
        <v>76</v>
      </c>
      <c r="I84" s="688">
        <f>7+3+6+1+1+10+1+1+4+12+2+1+3+4+1+2+3+1+1+1+2+1+1+3+1+2+1</f>
        <v>76</v>
      </c>
      <c r="J84" s="688"/>
      <c r="K84" s="939"/>
      <c r="L84" s="688"/>
      <c r="M84" s="688"/>
      <c r="N84" s="714">
        <f t="shared" si="18"/>
        <v>0</v>
      </c>
      <c r="O84" s="736"/>
      <c r="P84" s="698">
        <f t="shared" si="19"/>
        <v>0</v>
      </c>
      <c r="Q84" s="722"/>
      <c r="R84" s="698">
        <f t="shared" si="20"/>
        <v>0</v>
      </c>
      <c r="S84" s="722"/>
      <c r="T84" s="722"/>
      <c r="U84" s="698">
        <f t="shared" si="21"/>
        <v>0</v>
      </c>
      <c r="V84" s="722"/>
      <c r="W84" s="698">
        <f t="shared" si="22"/>
        <v>0</v>
      </c>
      <c r="X84" s="722"/>
    </row>
    <row r="85" spans="1:24" ht="15.75" thickBot="1">
      <c r="A85" s="796"/>
      <c r="B85" s="797" t="s">
        <v>97</v>
      </c>
      <c r="C85" s="794" t="s">
        <v>21</v>
      </c>
      <c r="D85" s="876">
        <f t="shared" si="17"/>
        <v>76.324000000000026</v>
      </c>
      <c r="E85" s="876">
        <f t="shared" si="23"/>
        <v>0</v>
      </c>
      <c r="F85" s="699"/>
      <c r="G85" s="699"/>
      <c r="H85" s="890">
        <f t="shared" si="15"/>
        <v>76.324000000000026</v>
      </c>
      <c r="I85" s="688">
        <f>4.473+1.916+3.834+0.683+3.421+6.425+0.683+0.691+2.697+32.312+1.278+0.683+0.826+2.734+0.683+1.368+2.05+0.683+0.683+0.683+1.368+0.683+0.683+2.05+0.683+1.368+0.683</f>
        <v>76.324000000000026</v>
      </c>
      <c r="J85" s="688"/>
      <c r="K85" s="939"/>
      <c r="L85" s="688"/>
      <c r="M85" s="688"/>
      <c r="N85" s="714">
        <f t="shared" si="18"/>
        <v>0</v>
      </c>
      <c r="O85" s="719"/>
      <c r="P85" s="698">
        <f t="shared" si="19"/>
        <v>0</v>
      </c>
      <c r="Q85" s="720"/>
      <c r="R85" s="698">
        <f t="shared" si="20"/>
        <v>0</v>
      </c>
      <c r="S85" s="720"/>
      <c r="T85" s="720"/>
      <c r="U85" s="698">
        <f t="shared" si="21"/>
        <v>0</v>
      </c>
      <c r="V85" s="720"/>
      <c r="W85" s="698">
        <f t="shared" si="22"/>
        <v>0</v>
      </c>
      <c r="X85" s="720"/>
    </row>
    <row r="86" spans="1:24" ht="16.5" thickTop="1" thickBot="1">
      <c r="A86" s="798" t="s">
        <v>98</v>
      </c>
      <c r="B86" s="773" t="s">
        <v>99</v>
      </c>
      <c r="C86" s="798" t="s">
        <v>21</v>
      </c>
      <c r="D86" s="876">
        <f t="shared" ref="D86:D95" si="24">H86+K86</f>
        <v>65.781999999999996</v>
      </c>
      <c r="E86" s="876">
        <f t="shared" si="23"/>
        <v>0</v>
      </c>
      <c r="F86" s="775">
        <f t="shared" ref="F86:G86" si="25">F88+F90+F92</f>
        <v>0</v>
      </c>
      <c r="G86" s="775">
        <f t="shared" si="25"/>
        <v>0</v>
      </c>
      <c r="H86" s="894">
        <f>H88+H90+H92+G86</f>
        <v>63.404999999999994</v>
      </c>
      <c r="I86" s="799">
        <f>I88+I90+I92</f>
        <v>63.404999999999994</v>
      </c>
      <c r="J86" s="799">
        <v>0</v>
      </c>
      <c r="K86" s="894">
        <f>K88+K90+K92</f>
        <v>2.3769999999999998</v>
      </c>
      <c r="L86" s="799">
        <f>L88+L90+L92</f>
        <v>2.3769999999999998</v>
      </c>
      <c r="M86" s="799">
        <v>0</v>
      </c>
      <c r="N86" s="775">
        <f t="shared" ref="N86:X86" si="26">N88+N90+N92</f>
        <v>0</v>
      </c>
      <c r="O86" s="775">
        <f t="shared" si="26"/>
        <v>0</v>
      </c>
      <c r="P86" s="775">
        <f t="shared" si="26"/>
        <v>0</v>
      </c>
      <c r="Q86" s="775">
        <f t="shared" si="26"/>
        <v>0</v>
      </c>
      <c r="R86" s="775">
        <f t="shared" si="26"/>
        <v>0</v>
      </c>
      <c r="S86" s="775">
        <f t="shared" si="26"/>
        <v>0</v>
      </c>
      <c r="T86" s="775">
        <f t="shared" si="26"/>
        <v>0</v>
      </c>
      <c r="U86" s="775">
        <f t="shared" si="26"/>
        <v>0</v>
      </c>
      <c r="V86" s="775">
        <f t="shared" si="26"/>
        <v>0</v>
      </c>
      <c r="W86" s="775">
        <f t="shared" si="26"/>
        <v>0</v>
      </c>
      <c r="X86" s="775">
        <f t="shared" si="26"/>
        <v>0</v>
      </c>
    </row>
    <row r="87" spans="1:24" ht="14.25" customHeight="1" thickTop="1" thickBot="1">
      <c r="A87" s="751">
        <v>20</v>
      </c>
      <c r="B87" s="752" t="s">
        <v>100</v>
      </c>
      <c r="C87" s="713" t="s">
        <v>51</v>
      </c>
      <c r="D87" s="876">
        <f>H87+K87</f>
        <v>3.5000000000000003E-2</v>
      </c>
      <c r="E87" s="876">
        <f t="shared" si="23"/>
        <v>0</v>
      </c>
      <c r="F87" s="699"/>
      <c r="G87" s="699"/>
      <c r="H87" s="895">
        <f>0.035</f>
        <v>3.5000000000000003E-2</v>
      </c>
      <c r="I87" s="800">
        <f>0.035</f>
        <v>3.5000000000000003E-2</v>
      </c>
      <c r="J87" s="800"/>
      <c r="K87" s="876"/>
      <c r="L87" s="699"/>
      <c r="M87" s="699"/>
      <c r="N87" s="698">
        <f t="shared" ref="N87:N92" si="27">O87</f>
        <v>0</v>
      </c>
      <c r="O87" s="801"/>
      <c r="P87" s="698">
        <f t="shared" ref="P87:P92" si="28">Q87</f>
        <v>0</v>
      </c>
      <c r="Q87" s="722"/>
      <c r="R87" s="698">
        <f t="shared" ref="R87:R92" si="29">S87+T87</f>
        <v>0</v>
      </c>
      <c r="S87" s="722"/>
      <c r="T87" s="722"/>
      <c r="U87" s="698">
        <f t="shared" ref="U87:U92" si="30">V87</f>
        <v>0</v>
      </c>
      <c r="V87" s="722"/>
      <c r="W87" s="698">
        <f t="shared" ref="W87:W92" si="31">X87</f>
        <v>0</v>
      </c>
      <c r="X87" s="722"/>
    </row>
    <row r="88" spans="1:24" ht="14.25" customHeight="1" thickBot="1">
      <c r="A88" s="802"/>
      <c r="B88" s="803" t="s">
        <v>101</v>
      </c>
      <c r="C88" s="718" t="s">
        <v>21</v>
      </c>
      <c r="D88" s="876">
        <f>H88+K88</f>
        <v>7.6180000000000003</v>
      </c>
      <c r="E88" s="876">
        <f t="shared" si="23"/>
        <v>0</v>
      </c>
      <c r="F88" s="699"/>
      <c r="G88" s="699"/>
      <c r="H88" s="895">
        <f>7.618</f>
        <v>7.6180000000000003</v>
      </c>
      <c r="I88" s="800">
        <f>7.618</f>
        <v>7.6180000000000003</v>
      </c>
      <c r="J88" s="800"/>
      <c r="K88" s="876"/>
      <c r="L88" s="699"/>
      <c r="M88" s="699"/>
      <c r="N88" s="698">
        <f t="shared" si="27"/>
        <v>0</v>
      </c>
      <c r="O88" s="804"/>
      <c r="P88" s="698">
        <f t="shared" si="28"/>
        <v>0</v>
      </c>
      <c r="Q88" s="720"/>
      <c r="R88" s="698">
        <f t="shared" si="29"/>
        <v>0</v>
      </c>
      <c r="S88" s="720"/>
      <c r="T88" s="720"/>
      <c r="U88" s="698">
        <f t="shared" si="30"/>
        <v>0</v>
      </c>
      <c r="V88" s="720"/>
      <c r="W88" s="698">
        <f t="shared" si="31"/>
        <v>0</v>
      </c>
      <c r="X88" s="720"/>
    </row>
    <row r="89" spans="1:24" ht="14.25" customHeight="1" thickBot="1">
      <c r="A89" s="707">
        <v>21</v>
      </c>
      <c r="B89" s="708" t="s">
        <v>102</v>
      </c>
      <c r="C89" s="659" t="s">
        <v>47</v>
      </c>
      <c r="D89" s="876">
        <f t="shared" si="24"/>
        <v>53</v>
      </c>
      <c r="E89" s="876">
        <f t="shared" si="23"/>
        <v>0</v>
      </c>
      <c r="F89" s="699"/>
      <c r="G89" s="699"/>
      <c r="H89" s="895">
        <f>2+1+4+1+1+2+3+2+2+2+3+3+1+2+2+3+3+4+2+5</f>
        <v>48</v>
      </c>
      <c r="I89" s="800">
        <f>2+1+4+1+1+2+3+2+2+2+3+3+1+2+2+3+3+4+2+5</f>
        <v>48</v>
      </c>
      <c r="J89" s="631"/>
      <c r="K89" s="892">
        <f>5</f>
        <v>5</v>
      </c>
      <c r="L89" s="699">
        <f>5</f>
        <v>5</v>
      </c>
      <c r="M89" s="699"/>
      <c r="N89" s="698">
        <f t="shared" si="27"/>
        <v>0</v>
      </c>
      <c r="O89" s="805"/>
      <c r="P89" s="698">
        <f t="shared" si="28"/>
        <v>0</v>
      </c>
      <c r="Q89" s="694"/>
      <c r="R89" s="698">
        <f t="shared" si="29"/>
        <v>0</v>
      </c>
      <c r="S89" s="694"/>
      <c r="T89" s="694"/>
      <c r="U89" s="698">
        <f t="shared" si="30"/>
        <v>0</v>
      </c>
      <c r="V89" s="694"/>
      <c r="W89" s="698">
        <f t="shared" si="31"/>
        <v>0</v>
      </c>
      <c r="X89" s="694"/>
    </row>
    <row r="90" spans="1:24" ht="15.75" thickBot="1">
      <c r="A90" s="806"/>
      <c r="B90" s="739" t="s">
        <v>103</v>
      </c>
      <c r="C90" s="697" t="s">
        <v>21</v>
      </c>
      <c r="D90" s="876">
        <f t="shared" si="24"/>
        <v>27.486999999999995</v>
      </c>
      <c r="E90" s="876">
        <f t="shared" si="23"/>
        <v>0</v>
      </c>
      <c r="F90" s="699"/>
      <c r="G90" s="699"/>
      <c r="H90" s="895">
        <f>0.551+0.682+1.102+0.682+1.152+0.21+0.826+0.551+0.551+0.551+2.217+2.217+1.152+2.951+1.611+1.628+1.371+2.106+1.086+1.913</f>
        <v>25.109999999999996</v>
      </c>
      <c r="I90" s="800">
        <f>0.551+0.682+1.102+0.682+1.152+0.21+0.826+0.551+0.551+0.551+2.217+2.217+1.152+2.951+1.611+1.628+1.371+2.106+1.086+1.913</f>
        <v>25.109999999999996</v>
      </c>
      <c r="J90" s="800"/>
      <c r="K90" s="892">
        <f>2.377</f>
        <v>2.3769999999999998</v>
      </c>
      <c r="L90" s="699">
        <f>2.377</f>
        <v>2.3769999999999998</v>
      </c>
      <c r="M90" s="699"/>
      <c r="N90" s="698">
        <f t="shared" si="27"/>
        <v>0</v>
      </c>
      <c r="O90" s="807"/>
      <c r="P90" s="698">
        <f t="shared" si="28"/>
        <v>0</v>
      </c>
      <c r="Q90" s="720"/>
      <c r="R90" s="698">
        <f t="shared" si="29"/>
        <v>0</v>
      </c>
      <c r="S90" s="720"/>
      <c r="T90" s="720"/>
      <c r="U90" s="698">
        <f t="shared" si="30"/>
        <v>0</v>
      </c>
      <c r="V90" s="720"/>
      <c r="W90" s="698">
        <f t="shared" si="31"/>
        <v>0</v>
      </c>
      <c r="X90" s="720"/>
    </row>
    <row r="91" spans="1:24" ht="15.75" thickBot="1">
      <c r="A91" s="808" t="s">
        <v>104</v>
      </c>
      <c r="B91" s="752" t="s">
        <v>105</v>
      </c>
      <c r="C91" s="713" t="s">
        <v>47</v>
      </c>
      <c r="D91" s="876">
        <f t="shared" si="24"/>
        <v>11</v>
      </c>
      <c r="E91" s="876">
        <f t="shared" si="23"/>
        <v>0</v>
      </c>
      <c r="F91" s="699"/>
      <c r="G91" s="699"/>
      <c r="H91" s="895">
        <f>1+1+1+1+1+1+1+1+1+1+1</f>
        <v>11</v>
      </c>
      <c r="I91" s="800">
        <f>1+1+1+1+1+1+1+1+1+1+1</f>
        <v>11</v>
      </c>
      <c r="J91" s="800"/>
      <c r="K91" s="876"/>
      <c r="L91" s="699"/>
      <c r="M91" s="699"/>
      <c r="N91" s="698">
        <f t="shared" si="27"/>
        <v>0</v>
      </c>
      <c r="O91" s="721"/>
      <c r="P91" s="698">
        <f t="shared" si="28"/>
        <v>0</v>
      </c>
      <c r="Q91" s="722"/>
      <c r="R91" s="698">
        <f t="shared" si="29"/>
        <v>0</v>
      </c>
      <c r="S91" s="722"/>
      <c r="T91" s="722"/>
      <c r="U91" s="698">
        <f t="shared" si="30"/>
        <v>0</v>
      </c>
      <c r="V91" s="722"/>
      <c r="W91" s="698">
        <f t="shared" si="31"/>
        <v>0</v>
      </c>
      <c r="X91" s="722"/>
    </row>
    <row r="92" spans="1:24" ht="12" customHeight="1" thickBot="1">
      <c r="A92" s="809"/>
      <c r="B92" s="810"/>
      <c r="C92" s="693" t="s">
        <v>21</v>
      </c>
      <c r="D92" s="876">
        <f t="shared" si="24"/>
        <v>30.677</v>
      </c>
      <c r="E92" s="876">
        <f t="shared" si="23"/>
        <v>0</v>
      </c>
      <c r="F92" s="699"/>
      <c r="G92" s="699"/>
      <c r="H92" s="895">
        <f>3.597+2.217+3.546+1.477+3.598+2.417+2.417+2.417+5.395+1.798+1.798</f>
        <v>30.677</v>
      </c>
      <c r="I92" s="800">
        <f>3.597+2.217+3.546+1.477+3.598+2.417+2.417+2.417+5.395+1.798+1.798</f>
        <v>30.677</v>
      </c>
      <c r="J92" s="800"/>
      <c r="K92" s="876"/>
      <c r="L92" s="699"/>
      <c r="M92" s="699"/>
      <c r="N92" s="698">
        <f t="shared" si="27"/>
        <v>0</v>
      </c>
      <c r="O92" s="715"/>
      <c r="P92" s="698">
        <f t="shared" si="28"/>
        <v>0</v>
      </c>
      <c r="Q92" s="720"/>
      <c r="R92" s="698">
        <f t="shared" si="29"/>
        <v>0</v>
      </c>
      <c r="S92" s="720"/>
      <c r="T92" s="720"/>
      <c r="U92" s="698">
        <f t="shared" si="30"/>
        <v>0</v>
      </c>
      <c r="V92" s="720"/>
      <c r="W92" s="698">
        <f t="shared" si="31"/>
        <v>0</v>
      </c>
      <c r="X92" s="720"/>
    </row>
    <row r="93" spans="1:24" ht="25.5" customHeight="1" thickTop="1" thickBot="1">
      <c r="A93" s="811" t="s">
        <v>106</v>
      </c>
      <c r="B93" s="812" t="s">
        <v>107</v>
      </c>
      <c r="C93" s="811" t="s">
        <v>21</v>
      </c>
      <c r="D93" s="876">
        <f>I93+L93</f>
        <v>216.30500000000001</v>
      </c>
      <c r="E93" s="876">
        <f t="shared" si="23"/>
        <v>0</v>
      </c>
      <c r="F93" s="813">
        <f t="shared" ref="F93:X93" si="32">F94+F95</f>
        <v>0</v>
      </c>
      <c r="G93" s="813">
        <f t="shared" si="32"/>
        <v>0</v>
      </c>
      <c r="H93" s="880">
        <f>I93</f>
        <v>202.65200000000002</v>
      </c>
      <c r="I93" s="813">
        <f>I94+I95+I96</f>
        <v>202.65200000000002</v>
      </c>
      <c r="J93" s="813">
        <f t="shared" si="32"/>
        <v>0</v>
      </c>
      <c r="K93" s="880">
        <f>K94+K95+K96</f>
        <v>13.653</v>
      </c>
      <c r="L93" s="813">
        <f>L94+L95+L96</f>
        <v>13.653</v>
      </c>
      <c r="M93" s="813">
        <v>0</v>
      </c>
      <c r="N93" s="813">
        <f t="shared" si="32"/>
        <v>0</v>
      </c>
      <c r="O93" s="813">
        <f t="shared" si="32"/>
        <v>0</v>
      </c>
      <c r="P93" s="813">
        <f t="shared" si="32"/>
        <v>0</v>
      </c>
      <c r="Q93" s="813">
        <f t="shared" si="32"/>
        <v>0</v>
      </c>
      <c r="R93" s="813">
        <f t="shared" si="32"/>
        <v>0</v>
      </c>
      <c r="S93" s="813">
        <f t="shared" si="32"/>
        <v>0</v>
      </c>
      <c r="T93" s="813">
        <f t="shared" si="32"/>
        <v>0</v>
      </c>
      <c r="U93" s="813">
        <f t="shared" si="32"/>
        <v>0</v>
      </c>
      <c r="V93" s="813">
        <f t="shared" si="32"/>
        <v>0</v>
      </c>
      <c r="W93" s="813">
        <f t="shared" si="32"/>
        <v>0</v>
      </c>
      <c r="X93" s="813">
        <f t="shared" si="32"/>
        <v>0</v>
      </c>
    </row>
    <row r="94" spans="1:24" ht="16.5" thickTop="1" thickBot="1">
      <c r="A94" s="684" t="s">
        <v>108</v>
      </c>
      <c r="B94" s="814" t="s">
        <v>304</v>
      </c>
      <c r="C94" s="815" t="s">
        <v>21</v>
      </c>
      <c r="D94" s="876">
        <f t="shared" si="24"/>
        <v>0</v>
      </c>
      <c r="E94" s="876">
        <f t="shared" si="23"/>
        <v>0</v>
      </c>
      <c r="F94" s="699"/>
      <c r="G94" s="699"/>
      <c r="H94" s="876"/>
      <c r="I94" s="699"/>
      <c r="J94" s="699"/>
      <c r="K94" s="876"/>
      <c r="L94" s="699"/>
      <c r="M94" s="699"/>
      <c r="N94" s="698">
        <f>O94</f>
        <v>0</v>
      </c>
      <c r="O94" s="721"/>
      <c r="P94" s="698">
        <f>Q94</f>
        <v>0</v>
      </c>
      <c r="Q94" s="686"/>
      <c r="R94" s="698">
        <f>S94+T94</f>
        <v>0</v>
      </c>
      <c r="S94" s="686"/>
      <c r="T94" s="686"/>
      <c r="U94" s="698">
        <f>V94</f>
        <v>0</v>
      </c>
      <c r="V94" s="686"/>
      <c r="W94" s="698">
        <f>X94</f>
        <v>0</v>
      </c>
      <c r="X94" s="686"/>
    </row>
    <row r="95" spans="1:24" ht="12.75" customHeight="1" thickBot="1">
      <c r="A95" s="816" t="s">
        <v>109</v>
      </c>
      <c r="B95" s="814" t="s">
        <v>305</v>
      </c>
      <c r="C95" s="685" t="s">
        <v>21</v>
      </c>
      <c r="D95" s="876">
        <f t="shared" si="24"/>
        <v>0</v>
      </c>
      <c r="E95" s="876">
        <f t="shared" si="23"/>
        <v>0</v>
      </c>
      <c r="F95" s="699"/>
      <c r="G95" s="699"/>
      <c r="H95" s="876"/>
      <c r="I95" s="699"/>
      <c r="J95" s="699"/>
      <c r="K95" s="876"/>
      <c r="L95" s="699"/>
      <c r="M95" s="699"/>
      <c r="N95" s="698">
        <f>O95</f>
        <v>0</v>
      </c>
      <c r="O95" s="817"/>
      <c r="P95" s="698">
        <f>Q95</f>
        <v>0</v>
      </c>
      <c r="Q95" s="686"/>
      <c r="R95" s="698">
        <f>S95+T95</f>
        <v>0</v>
      </c>
      <c r="S95" s="686"/>
      <c r="T95" s="686"/>
      <c r="U95" s="698">
        <f>V95</f>
        <v>0</v>
      </c>
      <c r="V95" s="686"/>
      <c r="W95" s="698">
        <f>X95</f>
        <v>0</v>
      </c>
      <c r="X95" s="686"/>
    </row>
    <row r="96" spans="1:24" ht="15.75" customHeight="1" thickBot="1">
      <c r="A96" s="816" t="s">
        <v>110</v>
      </c>
      <c r="B96" s="814" t="s">
        <v>111</v>
      </c>
      <c r="C96" s="685" t="s">
        <v>21</v>
      </c>
      <c r="D96" s="876">
        <f>I96+L96</f>
        <v>216.30500000000001</v>
      </c>
      <c r="E96" s="876">
        <f t="shared" si="23"/>
        <v>0</v>
      </c>
      <c r="F96" s="699"/>
      <c r="G96" s="699"/>
      <c r="H96" s="892">
        <f>I96</f>
        <v>202.65200000000002</v>
      </c>
      <c r="I96" s="699">
        <f>7.16+0.13+1.914+1.023+10.678+1.365+0.31+2.524+0.995+0.466+36.332+0.931+0.682+11.813+20.355+85.974+20</f>
        <v>202.65200000000002</v>
      </c>
      <c r="J96" s="699"/>
      <c r="K96" s="892">
        <f>L96</f>
        <v>13.653</v>
      </c>
      <c r="L96" s="699">
        <f>1.023+6.416+3.422+2.792</f>
        <v>13.653</v>
      </c>
      <c r="M96" s="699"/>
      <c r="N96" s="698">
        <f>O96</f>
        <v>0</v>
      </c>
      <c r="O96" s="817"/>
      <c r="P96" s="698">
        <f>Q96</f>
        <v>0</v>
      </c>
      <c r="Q96" s="686"/>
      <c r="R96" s="698">
        <f>S96+T96</f>
        <v>0</v>
      </c>
      <c r="S96" s="686"/>
      <c r="T96" s="686"/>
      <c r="U96" s="698">
        <f>V96</f>
        <v>0</v>
      </c>
      <c r="V96" s="686"/>
      <c r="W96" s="698">
        <f>X96</f>
        <v>0</v>
      </c>
      <c r="X96" s="686"/>
    </row>
    <row r="97" spans="1:26" ht="13.5" customHeight="1" thickBot="1">
      <c r="A97" s="818"/>
      <c r="B97" s="819" t="s">
        <v>112</v>
      </c>
      <c r="C97" s="820" t="s">
        <v>21</v>
      </c>
      <c r="D97" s="896">
        <f>D12+D71+D86+D93</f>
        <v>1300.3130000000001</v>
      </c>
      <c r="E97" s="876">
        <f t="shared" si="23"/>
        <v>0</v>
      </c>
      <c r="F97" s="821">
        <f t="shared" ref="F97:X97" si="33">F96+F93+F86+F71+F12</f>
        <v>0</v>
      </c>
      <c r="G97" s="821">
        <f t="shared" si="33"/>
        <v>0</v>
      </c>
      <c r="H97" s="896">
        <f>I97+J97</f>
        <v>1126.2730000000001</v>
      </c>
      <c r="I97" s="821">
        <f>I93+I86+I71+I12</f>
        <v>1126.2730000000001</v>
      </c>
      <c r="J97" s="821">
        <f>J96+J93+J86+J71+J12</f>
        <v>0</v>
      </c>
      <c r="K97" s="896">
        <f>L97+M97</f>
        <v>174.04</v>
      </c>
      <c r="L97" s="821">
        <f>L93+L86+L71+L12</f>
        <v>174.04</v>
      </c>
      <c r="M97" s="821"/>
      <c r="N97" s="822">
        <f t="shared" si="33"/>
        <v>0</v>
      </c>
      <c r="O97" s="822">
        <f t="shared" si="33"/>
        <v>0</v>
      </c>
      <c r="P97" s="822">
        <f t="shared" si="33"/>
        <v>0</v>
      </c>
      <c r="Q97" s="822">
        <f t="shared" si="33"/>
        <v>0</v>
      </c>
      <c r="R97" s="822">
        <f t="shared" si="33"/>
        <v>0</v>
      </c>
      <c r="S97" s="822">
        <f t="shared" si="33"/>
        <v>0</v>
      </c>
      <c r="T97" s="822">
        <f t="shared" si="33"/>
        <v>0</v>
      </c>
      <c r="U97" s="822">
        <f t="shared" si="33"/>
        <v>0</v>
      </c>
      <c r="V97" s="822">
        <f t="shared" si="33"/>
        <v>0</v>
      </c>
      <c r="W97" s="822">
        <f t="shared" si="33"/>
        <v>0</v>
      </c>
      <c r="X97" s="822">
        <f t="shared" si="33"/>
        <v>0</v>
      </c>
      <c r="Z97" s="629"/>
    </row>
    <row r="98" spans="1:26" ht="15.75" thickTop="1">
      <c r="A98" s="823"/>
      <c r="B98" s="824"/>
      <c r="C98" s="824"/>
      <c r="D98" s="881">
        <v>80648.726999999999</v>
      </c>
      <c r="E98" s="881">
        <f>80648.727-D97</f>
        <v>79348.414000000004</v>
      </c>
      <c r="F98" s="824"/>
      <c r="G98" s="824"/>
      <c r="H98" s="881"/>
      <c r="I98" s="824"/>
      <c r="J98" s="824"/>
      <c r="K98" s="881"/>
      <c r="L98" s="824"/>
      <c r="M98" s="824"/>
      <c r="N98" s="824"/>
      <c r="O98" s="824"/>
      <c r="P98" s="824"/>
      <c r="Q98" s="824"/>
      <c r="R98" s="824"/>
      <c r="S98" s="824"/>
      <c r="T98" s="824"/>
      <c r="U98" s="824"/>
      <c r="V98" s="824"/>
      <c r="W98" s="824"/>
      <c r="X98" s="824"/>
    </row>
    <row r="99" spans="1:26">
      <c r="A99" s="825"/>
      <c r="B99" s="825"/>
      <c r="C99" s="825"/>
      <c r="D99" s="898">
        <f>I50</f>
        <v>77.751000000000005</v>
      </c>
      <c r="E99" s="882"/>
      <c r="F99" s="825"/>
      <c r="G99" s="825"/>
      <c r="H99" s="882"/>
      <c r="I99" s="825">
        <f>H96-I96</f>
        <v>0</v>
      </c>
      <c r="J99" s="825">
        <f>I96+E98</f>
        <v>79551.066000000006</v>
      </c>
      <c r="K99" s="882"/>
      <c r="L99" s="825"/>
      <c r="M99" s="825">
        <f>9567.184-K97</f>
        <v>9393.1439999999984</v>
      </c>
      <c r="N99" s="825"/>
      <c r="O99" s="825"/>
      <c r="P99" s="825"/>
      <c r="Q99" s="825"/>
      <c r="R99" s="825"/>
      <c r="S99" s="825"/>
      <c r="T99" s="825"/>
      <c r="U99" s="825"/>
      <c r="V99" s="825"/>
      <c r="W99" s="825"/>
      <c r="X99" s="825"/>
    </row>
    <row r="100" spans="1:26" ht="15.75" thickBot="1">
      <c r="A100" s="1734" t="s">
        <v>113</v>
      </c>
      <c r="B100" s="1734"/>
      <c r="C100" s="1734"/>
      <c r="D100" s="1734"/>
      <c r="E100" s="1734"/>
      <c r="F100" s="1734"/>
      <c r="G100" s="1734"/>
      <c r="H100" s="1734"/>
      <c r="I100" s="1734"/>
      <c r="J100" s="1734"/>
      <c r="K100" s="1734"/>
      <c r="L100" s="1734"/>
      <c r="M100" s="1734"/>
      <c r="N100" s="1734"/>
      <c r="O100" s="1734"/>
      <c r="P100" s="1734"/>
      <c r="Q100" s="1734"/>
      <c r="R100" s="1734"/>
      <c r="S100" s="1734"/>
      <c r="T100" s="1734"/>
      <c r="U100" s="826"/>
      <c r="V100" s="826"/>
      <c r="W100" s="826"/>
      <c r="X100" s="826"/>
    </row>
    <row r="101" spans="1:26" ht="12.75" customHeight="1" thickBot="1">
      <c r="A101" s="808" t="s">
        <v>114</v>
      </c>
      <c r="B101" s="752" t="s">
        <v>115</v>
      </c>
      <c r="C101" s="808" t="s">
        <v>47</v>
      </c>
      <c r="D101" s="878">
        <f t="shared" ref="D101:D126" si="34">E101+H101+K101+N101+P101+R101+U101+W101</f>
        <v>0</v>
      </c>
      <c r="E101" s="878">
        <f t="shared" ref="E101:E126" si="35">F101+G101</f>
        <v>0</v>
      </c>
      <c r="F101" s="721"/>
      <c r="G101" s="721"/>
      <c r="H101" s="878">
        <f t="shared" ref="H101:H137" si="36">I101+J101</f>
        <v>0</v>
      </c>
      <c r="I101" s="721"/>
      <c r="J101" s="721"/>
      <c r="K101" s="878">
        <f t="shared" ref="K101:K137" si="37">L101+M101</f>
        <v>0</v>
      </c>
      <c r="L101" s="721"/>
      <c r="M101" s="721"/>
      <c r="N101" s="698">
        <f t="shared" ref="N101:N137" si="38">O101</f>
        <v>0</v>
      </c>
      <c r="O101" s="721"/>
      <c r="P101" s="698">
        <f t="shared" ref="P101:P137" si="39">Q101</f>
        <v>0</v>
      </c>
      <c r="Q101" s="801"/>
      <c r="R101" s="698">
        <f t="shared" ref="R101:R137" si="40">S101+T101</f>
        <v>0</v>
      </c>
      <c r="S101" s="735"/>
      <c r="T101" s="827"/>
      <c r="U101" s="698">
        <f t="shared" ref="U101:U137" si="41">V101</f>
        <v>0</v>
      </c>
      <c r="V101" s="735"/>
      <c r="W101" s="698">
        <f t="shared" ref="W101:W137" si="42">X101</f>
        <v>0</v>
      </c>
      <c r="X101" s="735"/>
    </row>
    <row r="102" spans="1:26" ht="12" customHeight="1" thickBot="1">
      <c r="A102" s="828"/>
      <c r="B102" s="754" t="s">
        <v>116</v>
      </c>
      <c r="C102" s="828" t="s">
        <v>21</v>
      </c>
      <c r="D102" s="878">
        <f t="shared" si="34"/>
        <v>0</v>
      </c>
      <c r="E102" s="878">
        <f t="shared" si="35"/>
        <v>0</v>
      </c>
      <c r="F102" s="721"/>
      <c r="G102" s="721"/>
      <c r="H102" s="878">
        <f t="shared" si="36"/>
        <v>0</v>
      </c>
      <c r="I102" s="721"/>
      <c r="J102" s="721"/>
      <c r="K102" s="878">
        <f t="shared" si="37"/>
        <v>0</v>
      </c>
      <c r="L102" s="721"/>
      <c r="M102" s="721"/>
      <c r="N102" s="698">
        <f t="shared" si="38"/>
        <v>0</v>
      </c>
      <c r="O102" s="715"/>
      <c r="P102" s="698">
        <f t="shared" si="39"/>
        <v>0</v>
      </c>
      <c r="Q102" s="829"/>
      <c r="R102" s="698">
        <f t="shared" si="40"/>
        <v>0</v>
      </c>
      <c r="S102" s="742"/>
      <c r="T102" s="830"/>
      <c r="U102" s="698">
        <f t="shared" si="41"/>
        <v>0</v>
      </c>
      <c r="V102" s="831"/>
      <c r="W102" s="698">
        <f t="shared" si="42"/>
        <v>0</v>
      </c>
      <c r="X102" s="831"/>
    </row>
    <row r="103" spans="1:26" ht="11.25" customHeight="1" thickBot="1">
      <c r="A103" s="808" t="s">
        <v>117</v>
      </c>
      <c r="B103" s="752" t="s">
        <v>118</v>
      </c>
      <c r="C103" s="808" t="s">
        <v>47</v>
      </c>
      <c r="D103" s="878">
        <f t="shared" si="34"/>
        <v>0</v>
      </c>
      <c r="E103" s="878">
        <f t="shared" si="35"/>
        <v>0</v>
      </c>
      <c r="F103" s="721"/>
      <c r="G103" s="721"/>
      <c r="H103" s="878">
        <f t="shared" si="36"/>
        <v>0</v>
      </c>
      <c r="I103" s="721"/>
      <c r="J103" s="721"/>
      <c r="K103" s="878">
        <f t="shared" si="37"/>
        <v>0</v>
      </c>
      <c r="L103" s="721"/>
      <c r="M103" s="721"/>
      <c r="N103" s="698">
        <f t="shared" si="38"/>
        <v>0</v>
      </c>
      <c r="O103" s="721"/>
      <c r="P103" s="698">
        <f t="shared" si="39"/>
        <v>0</v>
      </c>
      <c r="Q103" s="795"/>
      <c r="R103" s="698">
        <f t="shared" si="40"/>
        <v>0</v>
      </c>
      <c r="S103" s="782"/>
      <c r="T103" s="808"/>
      <c r="U103" s="698">
        <f t="shared" si="41"/>
        <v>0</v>
      </c>
      <c r="V103" s="722"/>
      <c r="W103" s="698">
        <f t="shared" si="42"/>
        <v>0</v>
      </c>
      <c r="X103" s="722"/>
    </row>
    <row r="104" spans="1:26" ht="11.25" customHeight="1" thickBot="1">
      <c r="A104" s="790"/>
      <c r="B104" s="804"/>
      <c r="C104" s="790" t="s">
        <v>21</v>
      </c>
      <c r="D104" s="878">
        <f t="shared" si="34"/>
        <v>0</v>
      </c>
      <c r="E104" s="878">
        <f t="shared" si="35"/>
        <v>0</v>
      </c>
      <c r="F104" s="721"/>
      <c r="G104" s="721"/>
      <c r="H104" s="878">
        <f t="shared" si="36"/>
        <v>0</v>
      </c>
      <c r="I104" s="721"/>
      <c r="J104" s="721"/>
      <c r="K104" s="878">
        <f t="shared" si="37"/>
        <v>0</v>
      </c>
      <c r="L104" s="721"/>
      <c r="M104" s="721"/>
      <c r="N104" s="698">
        <f t="shared" si="38"/>
        <v>0</v>
      </c>
      <c r="O104" s="719"/>
      <c r="P104" s="698">
        <f t="shared" si="39"/>
        <v>0</v>
      </c>
      <c r="Q104" s="717"/>
      <c r="R104" s="698">
        <f t="shared" si="40"/>
        <v>0</v>
      </c>
      <c r="S104" s="742"/>
      <c r="T104" s="790"/>
      <c r="U104" s="698">
        <f t="shared" si="41"/>
        <v>0</v>
      </c>
      <c r="V104" s="720"/>
      <c r="W104" s="698">
        <f t="shared" si="42"/>
        <v>0</v>
      </c>
      <c r="X104" s="720"/>
    </row>
    <row r="105" spans="1:26" ht="12" customHeight="1" thickBot="1">
      <c r="A105" s="808" t="s">
        <v>119</v>
      </c>
      <c r="B105" s="752" t="s">
        <v>120</v>
      </c>
      <c r="C105" s="808" t="s">
        <v>47</v>
      </c>
      <c r="D105" s="878">
        <f t="shared" si="34"/>
        <v>0</v>
      </c>
      <c r="E105" s="878">
        <f t="shared" si="35"/>
        <v>0</v>
      </c>
      <c r="F105" s="721"/>
      <c r="G105" s="721"/>
      <c r="H105" s="878">
        <f t="shared" si="36"/>
        <v>0</v>
      </c>
      <c r="I105" s="721"/>
      <c r="J105" s="721"/>
      <c r="K105" s="878">
        <f t="shared" si="37"/>
        <v>0</v>
      </c>
      <c r="L105" s="721"/>
      <c r="M105" s="721"/>
      <c r="N105" s="698">
        <f t="shared" si="38"/>
        <v>0</v>
      </c>
      <c r="O105" s="721"/>
      <c r="P105" s="698">
        <f t="shared" si="39"/>
        <v>0</v>
      </c>
      <c r="Q105" s="795"/>
      <c r="R105" s="698">
        <f t="shared" si="40"/>
        <v>0</v>
      </c>
      <c r="S105" s="735"/>
      <c r="T105" s="808"/>
      <c r="U105" s="698">
        <f t="shared" si="41"/>
        <v>0</v>
      </c>
      <c r="V105" s="722"/>
      <c r="W105" s="698">
        <f t="shared" si="42"/>
        <v>0</v>
      </c>
      <c r="X105" s="722"/>
    </row>
    <row r="106" spans="1:26" ht="15.75" thickBot="1">
      <c r="A106" s="790"/>
      <c r="B106" s="804"/>
      <c r="C106" s="790" t="s">
        <v>21</v>
      </c>
      <c r="D106" s="878">
        <f t="shared" si="34"/>
        <v>0</v>
      </c>
      <c r="E106" s="878">
        <f t="shared" si="35"/>
        <v>0</v>
      </c>
      <c r="F106" s="721"/>
      <c r="G106" s="721"/>
      <c r="H106" s="878">
        <f t="shared" si="36"/>
        <v>0</v>
      </c>
      <c r="I106" s="721"/>
      <c r="J106" s="721"/>
      <c r="K106" s="878">
        <f t="shared" si="37"/>
        <v>0</v>
      </c>
      <c r="L106" s="721"/>
      <c r="M106" s="721"/>
      <c r="N106" s="698">
        <f t="shared" si="38"/>
        <v>0</v>
      </c>
      <c r="O106" s="719"/>
      <c r="P106" s="698">
        <f t="shared" si="39"/>
        <v>0</v>
      </c>
      <c r="Q106" s="717"/>
      <c r="R106" s="698">
        <f t="shared" si="40"/>
        <v>0</v>
      </c>
      <c r="S106" s="742"/>
      <c r="T106" s="790"/>
      <c r="U106" s="698">
        <f t="shared" si="41"/>
        <v>0</v>
      </c>
      <c r="V106" s="720"/>
      <c r="W106" s="698">
        <f t="shared" si="42"/>
        <v>0</v>
      </c>
      <c r="X106" s="720"/>
    </row>
    <row r="107" spans="1:26" ht="15.75" thickBot="1">
      <c r="A107" s="832" t="s">
        <v>121</v>
      </c>
      <c r="B107" s="833" t="s">
        <v>122</v>
      </c>
      <c r="C107" s="832" t="s">
        <v>24</v>
      </c>
      <c r="D107" s="878">
        <f t="shared" si="34"/>
        <v>0</v>
      </c>
      <c r="E107" s="878">
        <f t="shared" si="35"/>
        <v>0</v>
      </c>
      <c r="F107" s="721"/>
      <c r="G107" s="721"/>
      <c r="H107" s="878">
        <f t="shared" si="36"/>
        <v>0</v>
      </c>
      <c r="I107" s="721"/>
      <c r="J107" s="721"/>
      <c r="K107" s="878">
        <f t="shared" si="37"/>
        <v>0</v>
      </c>
      <c r="L107" s="721"/>
      <c r="M107" s="721"/>
      <c r="N107" s="698">
        <f t="shared" si="38"/>
        <v>0</v>
      </c>
      <c r="O107" s="834"/>
      <c r="P107" s="698">
        <f t="shared" si="39"/>
        <v>0</v>
      </c>
      <c r="Q107" s="805"/>
      <c r="R107" s="698">
        <f t="shared" si="40"/>
        <v>0</v>
      </c>
      <c r="S107" s="782"/>
      <c r="T107" s="835"/>
      <c r="U107" s="698">
        <f t="shared" si="41"/>
        <v>0</v>
      </c>
      <c r="V107" s="782"/>
      <c r="W107" s="698">
        <f t="shared" si="42"/>
        <v>0</v>
      </c>
      <c r="X107" s="782"/>
    </row>
    <row r="108" spans="1:26" ht="15.75" thickBot="1">
      <c r="A108" s="790"/>
      <c r="B108" s="803" t="s">
        <v>123</v>
      </c>
      <c r="C108" s="790" t="s">
        <v>21</v>
      </c>
      <c r="D108" s="878">
        <f t="shared" si="34"/>
        <v>0</v>
      </c>
      <c r="E108" s="878">
        <f t="shared" si="35"/>
        <v>0</v>
      </c>
      <c r="F108" s="721"/>
      <c r="G108" s="721"/>
      <c r="H108" s="878">
        <f t="shared" si="36"/>
        <v>0</v>
      </c>
      <c r="I108" s="721"/>
      <c r="J108" s="721"/>
      <c r="K108" s="878">
        <f t="shared" si="37"/>
        <v>0</v>
      </c>
      <c r="L108" s="721"/>
      <c r="M108" s="721"/>
      <c r="N108" s="698">
        <f t="shared" si="38"/>
        <v>0</v>
      </c>
      <c r="O108" s="836"/>
      <c r="P108" s="698">
        <f t="shared" si="39"/>
        <v>0</v>
      </c>
      <c r="Q108" s="807"/>
      <c r="R108" s="698">
        <f t="shared" si="40"/>
        <v>0</v>
      </c>
      <c r="S108" s="837"/>
      <c r="T108" s="838"/>
      <c r="U108" s="698">
        <f t="shared" si="41"/>
        <v>0</v>
      </c>
      <c r="V108" s="837"/>
      <c r="W108" s="698">
        <f t="shared" si="42"/>
        <v>0</v>
      </c>
      <c r="X108" s="837"/>
    </row>
    <row r="109" spans="1:26" ht="15.75" thickBot="1">
      <c r="A109" s="832" t="s">
        <v>124</v>
      </c>
      <c r="B109" s="833" t="s">
        <v>125</v>
      </c>
      <c r="C109" s="832" t="s">
        <v>47</v>
      </c>
      <c r="D109" s="878">
        <f t="shared" si="34"/>
        <v>0</v>
      </c>
      <c r="E109" s="878">
        <f t="shared" si="35"/>
        <v>0</v>
      </c>
      <c r="F109" s="721"/>
      <c r="G109" s="721"/>
      <c r="H109" s="878">
        <f t="shared" si="36"/>
        <v>0</v>
      </c>
      <c r="I109" s="721"/>
      <c r="J109" s="721"/>
      <c r="K109" s="878">
        <f t="shared" si="37"/>
        <v>0</v>
      </c>
      <c r="L109" s="721"/>
      <c r="M109" s="721"/>
      <c r="N109" s="698">
        <f t="shared" si="38"/>
        <v>0</v>
      </c>
      <c r="O109" s="721"/>
      <c r="P109" s="698">
        <f t="shared" si="39"/>
        <v>0</v>
      </c>
      <c r="Q109" s="801"/>
      <c r="R109" s="698">
        <f t="shared" si="40"/>
        <v>0</v>
      </c>
      <c r="S109" s="735"/>
      <c r="T109" s="827"/>
      <c r="U109" s="698">
        <f t="shared" si="41"/>
        <v>0</v>
      </c>
      <c r="V109" s="735"/>
      <c r="W109" s="698">
        <f t="shared" si="42"/>
        <v>0</v>
      </c>
      <c r="X109" s="735"/>
    </row>
    <row r="110" spans="1:26" ht="15.75" thickBot="1">
      <c r="A110" s="809"/>
      <c r="B110" s="810"/>
      <c r="C110" s="809" t="s">
        <v>21</v>
      </c>
      <c r="D110" s="878">
        <f t="shared" si="34"/>
        <v>0</v>
      </c>
      <c r="E110" s="878">
        <f t="shared" si="35"/>
        <v>0</v>
      </c>
      <c r="F110" s="721"/>
      <c r="G110" s="721"/>
      <c r="H110" s="878">
        <f t="shared" si="36"/>
        <v>0</v>
      </c>
      <c r="I110" s="721"/>
      <c r="J110" s="721"/>
      <c r="K110" s="878">
        <f t="shared" si="37"/>
        <v>0</v>
      </c>
      <c r="L110" s="721"/>
      <c r="M110" s="721"/>
      <c r="N110" s="698">
        <f t="shared" si="38"/>
        <v>0</v>
      </c>
      <c r="O110" s="836"/>
      <c r="P110" s="698">
        <f t="shared" si="39"/>
        <v>0</v>
      </c>
      <c r="Q110" s="807"/>
      <c r="R110" s="698">
        <f t="shared" si="40"/>
        <v>0</v>
      </c>
      <c r="S110" s="837"/>
      <c r="T110" s="838"/>
      <c r="U110" s="698">
        <f t="shared" si="41"/>
        <v>0</v>
      </c>
      <c r="V110" s="837"/>
      <c r="W110" s="698">
        <f t="shared" si="42"/>
        <v>0</v>
      </c>
      <c r="X110" s="837"/>
    </row>
    <row r="111" spans="1:26" ht="15.75" thickBot="1">
      <c r="A111" s="808" t="s">
        <v>126</v>
      </c>
      <c r="B111" s="752" t="s">
        <v>127</v>
      </c>
      <c r="C111" s="808" t="s">
        <v>51</v>
      </c>
      <c r="D111" s="878">
        <f t="shared" si="34"/>
        <v>0</v>
      </c>
      <c r="E111" s="878">
        <f t="shared" si="35"/>
        <v>0</v>
      </c>
      <c r="F111" s="721"/>
      <c r="G111" s="721"/>
      <c r="H111" s="878">
        <f t="shared" si="36"/>
        <v>0</v>
      </c>
      <c r="I111" s="721"/>
      <c r="J111" s="721"/>
      <c r="K111" s="878">
        <f t="shared" si="37"/>
        <v>0</v>
      </c>
      <c r="L111" s="721"/>
      <c r="M111" s="721"/>
      <c r="N111" s="698">
        <f t="shared" si="38"/>
        <v>0</v>
      </c>
      <c r="O111" s="721"/>
      <c r="P111" s="698">
        <f t="shared" si="39"/>
        <v>0</v>
      </c>
      <c r="Q111" s="801"/>
      <c r="R111" s="698">
        <f t="shared" si="40"/>
        <v>0</v>
      </c>
      <c r="S111" s="735"/>
      <c r="T111" s="827"/>
      <c r="U111" s="698">
        <f t="shared" si="41"/>
        <v>0</v>
      </c>
      <c r="V111" s="735"/>
      <c r="W111" s="698">
        <f t="shared" si="42"/>
        <v>0</v>
      </c>
      <c r="X111" s="735"/>
    </row>
    <row r="112" spans="1:26" ht="15.75" thickBot="1">
      <c r="A112" s="790"/>
      <c r="B112" s="803"/>
      <c r="C112" s="790" t="s">
        <v>128</v>
      </c>
      <c r="D112" s="878">
        <f t="shared" si="34"/>
        <v>0</v>
      </c>
      <c r="E112" s="878">
        <f t="shared" si="35"/>
        <v>0</v>
      </c>
      <c r="F112" s="721"/>
      <c r="G112" s="721"/>
      <c r="H112" s="878">
        <f t="shared" si="36"/>
        <v>0</v>
      </c>
      <c r="I112" s="721"/>
      <c r="J112" s="721"/>
      <c r="K112" s="878">
        <f t="shared" si="37"/>
        <v>0</v>
      </c>
      <c r="L112" s="721"/>
      <c r="M112" s="721"/>
      <c r="N112" s="698">
        <f t="shared" si="38"/>
        <v>0</v>
      </c>
      <c r="O112" s="719"/>
      <c r="P112" s="698">
        <f t="shared" si="39"/>
        <v>0</v>
      </c>
      <c r="Q112" s="804"/>
      <c r="R112" s="698">
        <f t="shared" si="40"/>
        <v>0</v>
      </c>
      <c r="S112" s="742"/>
      <c r="T112" s="839"/>
      <c r="U112" s="698">
        <f t="shared" si="41"/>
        <v>0</v>
      </c>
      <c r="V112" s="742"/>
      <c r="W112" s="698">
        <f t="shared" si="42"/>
        <v>0</v>
      </c>
      <c r="X112" s="742"/>
    </row>
    <row r="113" spans="1:24" ht="12.75" customHeight="1" thickBot="1">
      <c r="A113" s="840">
        <v>7</v>
      </c>
      <c r="B113" s="833" t="s">
        <v>129</v>
      </c>
      <c r="C113" s="832" t="s">
        <v>130</v>
      </c>
      <c r="D113" s="878">
        <f t="shared" si="34"/>
        <v>0</v>
      </c>
      <c r="E113" s="878">
        <f t="shared" si="35"/>
        <v>0</v>
      </c>
      <c r="F113" s="721"/>
      <c r="G113" s="721"/>
      <c r="H113" s="878">
        <f t="shared" si="36"/>
        <v>0</v>
      </c>
      <c r="I113" s="721"/>
      <c r="J113" s="721"/>
      <c r="K113" s="878">
        <f t="shared" si="37"/>
        <v>0</v>
      </c>
      <c r="L113" s="721"/>
      <c r="M113" s="721"/>
      <c r="N113" s="698">
        <f t="shared" si="38"/>
        <v>0</v>
      </c>
      <c r="O113" s="834"/>
      <c r="P113" s="698">
        <f t="shared" si="39"/>
        <v>0</v>
      </c>
      <c r="Q113" s="805"/>
      <c r="R113" s="698">
        <f t="shared" si="40"/>
        <v>0</v>
      </c>
      <c r="S113" s="782"/>
      <c r="T113" s="835"/>
      <c r="U113" s="698">
        <f t="shared" si="41"/>
        <v>0</v>
      </c>
      <c r="V113" s="782"/>
      <c r="W113" s="698">
        <f t="shared" si="42"/>
        <v>0</v>
      </c>
      <c r="X113" s="782"/>
    </row>
    <row r="114" spans="1:24" ht="12" customHeight="1" thickBot="1">
      <c r="A114" s="790"/>
      <c r="B114" s="804"/>
      <c r="C114" s="790" t="s">
        <v>21</v>
      </c>
      <c r="D114" s="878">
        <f t="shared" si="34"/>
        <v>0</v>
      </c>
      <c r="E114" s="878">
        <f t="shared" si="35"/>
        <v>0</v>
      </c>
      <c r="F114" s="721"/>
      <c r="G114" s="721"/>
      <c r="H114" s="878">
        <f t="shared" si="36"/>
        <v>0</v>
      </c>
      <c r="I114" s="721"/>
      <c r="J114" s="721"/>
      <c r="K114" s="878">
        <f t="shared" si="37"/>
        <v>0</v>
      </c>
      <c r="L114" s="721"/>
      <c r="M114" s="721"/>
      <c r="N114" s="698">
        <f t="shared" si="38"/>
        <v>0</v>
      </c>
      <c r="O114" s="836"/>
      <c r="P114" s="698">
        <f t="shared" si="39"/>
        <v>0</v>
      </c>
      <c r="Q114" s="807"/>
      <c r="R114" s="698">
        <f t="shared" si="40"/>
        <v>0</v>
      </c>
      <c r="S114" s="837"/>
      <c r="T114" s="838"/>
      <c r="U114" s="698">
        <f t="shared" si="41"/>
        <v>0</v>
      </c>
      <c r="V114" s="837"/>
      <c r="W114" s="698">
        <f t="shared" si="42"/>
        <v>0</v>
      </c>
      <c r="X114" s="837"/>
    </row>
    <row r="115" spans="1:24" ht="15.75" thickBot="1">
      <c r="A115" s="841">
        <v>8</v>
      </c>
      <c r="B115" s="752" t="s">
        <v>131</v>
      </c>
      <c r="C115" s="808" t="s">
        <v>47</v>
      </c>
      <c r="D115" s="878">
        <f t="shared" si="34"/>
        <v>0</v>
      </c>
      <c r="E115" s="878">
        <f t="shared" si="35"/>
        <v>0</v>
      </c>
      <c r="F115" s="721"/>
      <c r="G115" s="721"/>
      <c r="H115" s="878">
        <f t="shared" si="36"/>
        <v>0</v>
      </c>
      <c r="I115" s="721"/>
      <c r="J115" s="721"/>
      <c r="K115" s="878">
        <f t="shared" si="37"/>
        <v>0</v>
      </c>
      <c r="L115" s="721"/>
      <c r="M115" s="721"/>
      <c r="N115" s="698">
        <f t="shared" si="38"/>
        <v>0</v>
      </c>
      <c r="O115" s="721"/>
      <c r="P115" s="698">
        <f t="shared" si="39"/>
        <v>0</v>
      </c>
      <c r="Q115" s="801"/>
      <c r="R115" s="698">
        <f t="shared" si="40"/>
        <v>0</v>
      </c>
      <c r="S115" s="735"/>
      <c r="T115" s="827"/>
      <c r="U115" s="698">
        <f t="shared" si="41"/>
        <v>0</v>
      </c>
      <c r="V115" s="735"/>
      <c r="W115" s="698">
        <f t="shared" si="42"/>
        <v>0</v>
      </c>
      <c r="X115" s="735"/>
    </row>
    <row r="116" spans="1:24" ht="15.75" thickBot="1">
      <c r="A116" s="797"/>
      <c r="B116" s="803" t="s">
        <v>132</v>
      </c>
      <c r="C116" s="790" t="s">
        <v>21</v>
      </c>
      <c r="D116" s="878">
        <f t="shared" si="34"/>
        <v>0</v>
      </c>
      <c r="E116" s="878">
        <f t="shared" si="35"/>
        <v>0</v>
      </c>
      <c r="F116" s="721"/>
      <c r="G116" s="721"/>
      <c r="H116" s="878">
        <f t="shared" si="36"/>
        <v>0</v>
      </c>
      <c r="I116" s="721"/>
      <c r="J116" s="721"/>
      <c r="K116" s="878">
        <f t="shared" si="37"/>
        <v>0</v>
      </c>
      <c r="L116" s="721"/>
      <c r="M116" s="721"/>
      <c r="N116" s="698">
        <f t="shared" si="38"/>
        <v>0</v>
      </c>
      <c r="O116" s="836"/>
      <c r="P116" s="698">
        <f t="shared" si="39"/>
        <v>0</v>
      </c>
      <c r="Q116" s="807"/>
      <c r="R116" s="698">
        <f t="shared" si="40"/>
        <v>0</v>
      </c>
      <c r="S116" s="837"/>
      <c r="T116" s="838"/>
      <c r="U116" s="698">
        <f t="shared" si="41"/>
        <v>0</v>
      </c>
      <c r="V116" s="837"/>
      <c r="W116" s="698">
        <f t="shared" si="42"/>
        <v>0</v>
      </c>
      <c r="X116" s="837"/>
    </row>
    <row r="117" spans="1:24" ht="15.75" thickBot="1">
      <c r="A117" s="841">
        <v>9</v>
      </c>
      <c r="B117" s="752" t="s">
        <v>133</v>
      </c>
      <c r="C117" s="808" t="s">
        <v>134</v>
      </c>
      <c r="D117" s="878">
        <f t="shared" si="34"/>
        <v>0</v>
      </c>
      <c r="E117" s="878">
        <f t="shared" si="35"/>
        <v>0</v>
      </c>
      <c r="F117" s="721"/>
      <c r="G117" s="721"/>
      <c r="H117" s="878">
        <f t="shared" si="36"/>
        <v>0</v>
      </c>
      <c r="I117" s="721"/>
      <c r="J117" s="721"/>
      <c r="K117" s="878">
        <f t="shared" si="37"/>
        <v>0</v>
      </c>
      <c r="L117" s="721"/>
      <c r="M117" s="721"/>
      <c r="N117" s="698">
        <f t="shared" si="38"/>
        <v>0</v>
      </c>
      <c r="O117" s="721"/>
      <c r="P117" s="698">
        <f t="shared" si="39"/>
        <v>0</v>
      </c>
      <c r="Q117" s="801"/>
      <c r="R117" s="698">
        <f t="shared" si="40"/>
        <v>0</v>
      </c>
      <c r="S117" s="735"/>
      <c r="T117" s="827"/>
      <c r="U117" s="698">
        <f t="shared" si="41"/>
        <v>0</v>
      </c>
      <c r="V117" s="735"/>
      <c r="W117" s="698">
        <f t="shared" si="42"/>
        <v>0</v>
      </c>
      <c r="X117" s="735"/>
    </row>
    <row r="118" spans="1:24" ht="15.75" thickBot="1">
      <c r="A118" s="790"/>
      <c r="B118" s="803" t="s">
        <v>135</v>
      </c>
      <c r="C118" s="790" t="s">
        <v>21</v>
      </c>
      <c r="D118" s="878">
        <f t="shared" si="34"/>
        <v>0</v>
      </c>
      <c r="E118" s="878">
        <f t="shared" si="35"/>
        <v>0</v>
      </c>
      <c r="F118" s="721"/>
      <c r="G118" s="721"/>
      <c r="H118" s="878">
        <f t="shared" si="36"/>
        <v>0</v>
      </c>
      <c r="I118" s="721"/>
      <c r="J118" s="721"/>
      <c r="K118" s="878">
        <f t="shared" si="37"/>
        <v>0</v>
      </c>
      <c r="L118" s="721"/>
      <c r="M118" s="721"/>
      <c r="N118" s="698">
        <f t="shared" si="38"/>
        <v>0</v>
      </c>
      <c r="O118" s="836"/>
      <c r="P118" s="698">
        <f t="shared" si="39"/>
        <v>0</v>
      </c>
      <c r="Q118" s="807"/>
      <c r="R118" s="698">
        <f t="shared" si="40"/>
        <v>0</v>
      </c>
      <c r="S118" s="837"/>
      <c r="T118" s="838"/>
      <c r="U118" s="698">
        <f t="shared" si="41"/>
        <v>0</v>
      </c>
      <c r="V118" s="837"/>
      <c r="W118" s="698">
        <f t="shared" si="42"/>
        <v>0</v>
      </c>
      <c r="X118" s="837"/>
    </row>
    <row r="119" spans="1:24" ht="15.75" thickBot="1">
      <c r="A119" s="808" t="s">
        <v>136</v>
      </c>
      <c r="B119" s="792" t="s">
        <v>137</v>
      </c>
      <c r="C119" s="801" t="s">
        <v>21</v>
      </c>
      <c r="D119" s="878">
        <f t="shared" si="34"/>
        <v>0</v>
      </c>
      <c r="E119" s="878">
        <f t="shared" si="35"/>
        <v>0</v>
      </c>
      <c r="F119" s="721"/>
      <c r="G119" s="721"/>
      <c r="H119" s="878">
        <f t="shared" si="36"/>
        <v>0</v>
      </c>
      <c r="I119" s="721">
        <v>0</v>
      </c>
      <c r="J119" s="721"/>
      <c r="K119" s="878">
        <f t="shared" si="37"/>
        <v>0</v>
      </c>
      <c r="L119" s="721"/>
      <c r="M119" s="721"/>
      <c r="N119" s="698">
        <f t="shared" si="38"/>
        <v>0</v>
      </c>
      <c r="O119" s="721"/>
      <c r="P119" s="698">
        <f t="shared" si="39"/>
        <v>0</v>
      </c>
      <c r="Q119" s="842"/>
      <c r="R119" s="698">
        <f t="shared" si="40"/>
        <v>0</v>
      </c>
      <c r="S119" s="735"/>
      <c r="T119" s="843"/>
      <c r="U119" s="698">
        <f t="shared" si="41"/>
        <v>0</v>
      </c>
      <c r="V119" s="722"/>
      <c r="W119" s="698">
        <f t="shared" si="42"/>
        <v>0</v>
      </c>
      <c r="X119" s="722"/>
    </row>
    <row r="120" spans="1:24" ht="15.75" thickBot="1">
      <c r="A120" s="786" t="s">
        <v>138</v>
      </c>
      <c r="B120" s="783" t="s">
        <v>139</v>
      </c>
      <c r="C120" s="832" t="s">
        <v>21</v>
      </c>
      <c r="D120" s="878">
        <f t="shared" si="34"/>
        <v>0</v>
      </c>
      <c r="E120" s="878">
        <f t="shared" si="35"/>
        <v>0</v>
      </c>
      <c r="F120" s="721"/>
      <c r="G120" s="721"/>
      <c r="H120" s="878">
        <f t="shared" si="36"/>
        <v>0</v>
      </c>
      <c r="I120" s="721"/>
      <c r="J120" s="721"/>
      <c r="K120" s="878">
        <f t="shared" si="37"/>
        <v>0</v>
      </c>
      <c r="L120" s="721"/>
      <c r="M120" s="721"/>
      <c r="N120" s="698">
        <f t="shared" si="38"/>
        <v>0</v>
      </c>
      <c r="O120" s="834"/>
      <c r="P120" s="698">
        <f t="shared" si="39"/>
        <v>0</v>
      </c>
      <c r="Q120" s="844"/>
      <c r="R120" s="698">
        <f t="shared" si="40"/>
        <v>0</v>
      </c>
      <c r="S120" s="782"/>
      <c r="T120" s="834"/>
      <c r="U120" s="698">
        <f t="shared" si="41"/>
        <v>0</v>
      </c>
      <c r="V120" s="694"/>
      <c r="W120" s="698">
        <f t="shared" si="42"/>
        <v>0</v>
      </c>
      <c r="X120" s="694"/>
    </row>
    <row r="121" spans="1:24" ht="15.75" thickBot="1">
      <c r="A121" s="845" t="s">
        <v>140</v>
      </c>
      <c r="B121" s="846" t="s">
        <v>141</v>
      </c>
      <c r="C121" s="845" t="s">
        <v>21</v>
      </c>
      <c r="D121" s="878">
        <f t="shared" si="34"/>
        <v>0</v>
      </c>
      <c r="E121" s="878">
        <f t="shared" si="35"/>
        <v>0</v>
      </c>
      <c r="F121" s="721"/>
      <c r="G121" s="721"/>
      <c r="H121" s="878">
        <f t="shared" si="36"/>
        <v>0</v>
      </c>
      <c r="I121" s="721"/>
      <c r="J121" s="721"/>
      <c r="K121" s="878">
        <f t="shared" si="37"/>
        <v>0</v>
      </c>
      <c r="L121" s="721"/>
      <c r="M121" s="721"/>
      <c r="N121" s="698">
        <f t="shared" si="38"/>
        <v>0</v>
      </c>
      <c r="O121" s="736"/>
      <c r="P121" s="698">
        <f t="shared" si="39"/>
        <v>0</v>
      </c>
      <c r="Q121" s="744"/>
      <c r="R121" s="698">
        <f t="shared" si="40"/>
        <v>0</v>
      </c>
      <c r="S121" s="760"/>
      <c r="T121" s="736"/>
      <c r="U121" s="698">
        <f t="shared" si="41"/>
        <v>0</v>
      </c>
      <c r="V121" s="737"/>
      <c r="W121" s="698">
        <f t="shared" si="42"/>
        <v>0</v>
      </c>
      <c r="X121" s="737"/>
    </row>
    <row r="122" spans="1:24" ht="15.75" thickBot="1">
      <c r="A122" s="816" t="s">
        <v>142</v>
      </c>
      <c r="B122" s="847" t="s">
        <v>143</v>
      </c>
      <c r="C122" s="816" t="s">
        <v>21</v>
      </c>
      <c r="D122" s="878">
        <f t="shared" si="34"/>
        <v>0</v>
      </c>
      <c r="E122" s="878">
        <f t="shared" si="35"/>
        <v>0</v>
      </c>
      <c r="F122" s="721"/>
      <c r="G122" s="721"/>
      <c r="H122" s="878">
        <f t="shared" si="36"/>
        <v>0</v>
      </c>
      <c r="I122" s="721"/>
      <c r="J122" s="721"/>
      <c r="K122" s="878">
        <f t="shared" si="37"/>
        <v>0</v>
      </c>
      <c r="L122" s="721"/>
      <c r="M122" s="721"/>
      <c r="N122" s="698">
        <f t="shared" si="38"/>
        <v>0</v>
      </c>
      <c r="O122" s="817"/>
      <c r="P122" s="698">
        <f t="shared" si="39"/>
        <v>0</v>
      </c>
      <c r="Q122" s="848"/>
      <c r="R122" s="698">
        <f t="shared" si="40"/>
        <v>0</v>
      </c>
      <c r="S122" s="849"/>
      <c r="T122" s="817"/>
      <c r="U122" s="698">
        <f t="shared" si="41"/>
        <v>0</v>
      </c>
      <c r="V122" s="686"/>
      <c r="W122" s="698">
        <f t="shared" si="42"/>
        <v>0</v>
      </c>
      <c r="X122" s="686"/>
    </row>
    <row r="123" spans="1:24" ht="15.75" thickBot="1">
      <c r="A123" s="731">
        <v>13</v>
      </c>
      <c r="B123" s="846" t="s">
        <v>144</v>
      </c>
      <c r="C123" s="845" t="s">
        <v>21</v>
      </c>
      <c r="D123" s="878">
        <f t="shared" si="34"/>
        <v>0</v>
      </c>
      <c r="E123" s="878">
        <f t="shared" si="35"/>
        <v>0</v>
      </c>
      <c r="F123" s="721"/>
      <c r="G123" s="721"/>
      <c r="H123" s="878">
        <f t="shared" si="36"/>
        <v>0</v>
      </c>
      <c r="I123" s="721"/>
      <c r="J123" s="721"/>
      <c r="K123" s="878">
        <f t="shared" si="37"/>
        <v>0</v>
      </c>
      <c r="L123" s="721"/>
      <c r="M123" s="721"/>
      <c r="N123" s="698">
        <f t="shared" si="38"/>
        <v>0</v>
      </c>
      <c r="O123" s="736"/>
      <c r="P123" s="698">
        <f t="shared" si="39"/>
        <v>0</v>
      </c>
      <c r="Q123" s="744"/>
      <c r="R123" s="698">
        <f t="shared" si="40"/>
        <v>0</v>
      </c>
      <c r="S123" s="760"/>
      <c r="T123" s="736"/>
      <c r="U123" s="698">
        <f t="shared" si="41"/>
        <v>0</v>
      </c>
      <c r="V123" s="737"/>
      <c r="W123" s="698">
        <f t="shared" si="42"/>
        <v>0</v>
      </c>
      <c r="X123" s="737"/>
    </row>
    <row r="124" spans="1:24" ht="15.75" thickBot="1">
      <c r="A124" s="731">
        <v>14</v>
      </c>
      <c r="B124" s="850" t="s">
        <v>145</v>
      </c>
      <c r="C124" s="845" t="s">
        <v>21</v>
      </c>
      <c r="D124" s="878">
        <f t="shared" si="34"/>
        <v>0</v>
      </c>
      <c r="E124" s="878">
        <f t="shared" si="35"/>
        <v>0</v>
      </c>
      <c r="F124" s="721"/>
      <c r="G124" s="721"/>
      <c r="H124" s="878">
        <f t="shared" si="36"/>
        <v>0</v>
      </c>
      <c r="I124" s="721">
        <v>0</v>
      </c>
      <c r="J124" s="721"/>
      <c r="K124" s="878">
        <f t="shared" si="37"/>
        <v>0</v>
      </c>
      <c r="L124" s="721"/>
      <c r="M124" s="721"/>
      <c r="N124" s="698">
        <f t="shared" si="38"/>
        <v>0</v>
      </c>
      <c r="O124" s="736"/>
      <c r="P124" s="698">
        <f t="shared" si="39"/>
        <v>0</v>
      </c>
      <c r="Q124" s="744"/>
      <c r="R124" s="698">
        <f t="shared" si="40"/>
        <v>0</v>
      </c>
      <c r="S124" s="760"/>
      <c r="T124" s="736"/>
      <c r="U124" s="698">
        <f t="shared" si="41"/>
        <v>0</v>
      </c>
      <c r="V124" s="737"/>
      <c r="W124" s="698">
        <f t="shared" si="42"/>
        <v>0</v>
      </c>
      <c r="X124" s="737"/>
    </row>
    <row r="125" spans="1:24" ht="15.75" thickBot="1">
      <c r="A125" s="816" t="s">
        <v>146</v>
      </c>
      <c r="B125" s="847" t="s">
        <v>147</v>
      </c>
      <c r="C125" s="816" t="s">
        <v>21</v>
      </c>
      <c r="D125" s="878">
        <f t="shared" si="34"/>
        <v>0</v>
      </c>
      <c r="E125" s="878">
        <f t="shared" si="35"/>
        <v>0</v>
      </c>
      <c r="F125" s="721"/>
      <c r="G125" s="721"/>
      <c r="H125" s="878">
        <f t="shared" si="36"/>
        <v>0</v>
      </c>
      <c r="I125" s="721">
        <v>0</v>
      </c>
      <c r="J125" s="721"/>
      <c r="K125" s="878">
        <f t="shared" si="37"/>
        <v>0</v>
      </c>
      <c r="L125" s="721"/>
      <c r="M125" s="721"/>
      <c r="N125" s="698">
        <f t="shared" si="38"/>
        <v>0</v>
      </c>
      <c r="O125" s="817"/>
      <c r="P125" s="698">
        <f t="shared" si="39"/>
        <v>0</v>
      </c>
      <c r="Q125" s="848"/>
      <c r="R125" s="698">
        <f t="shared" si="40"/>
        <v>0</v>
      </c>
      <c r="S125" s="849"/>
      <c r="T125" s="817"/>
      <c r="U125" s="698">
        <f t="shared" si="41"/>
        <v>0</v>
      </c>
      <c r="V125" s="686"/>
      <c r="W125" s="698">
        <f t="shared" si="42"/>
        <v>0</v>
      </c>
      <c r="X125" s="686"/>
    </row>
    <row r="126" spans="1:24">
      <c r="A126" s="841">
        <v>16</v>
      </c>
      <c r="B126" s="752" t="s">
        <v>148</v>
      </c>
      <c r="C126" s="808" t="s">
        <v>21</v>
      </c>
      <c r="D126" s="878">
        <f t="shared" si="34"/>
        <v>0</v>
      </c>
      <c r="E126" s="878">
        <f t="shared" si="35"/>
        <v>0</v>
      </c>
      <c r="F126" s="721"/>
      <c r="G126" s="721"/>
      <c r="H126" s="878">
        <f t="shared" si="36"/>
        <v>0</v>
      </c>
      <c r="I126" s="721">
        <v>0</v>
      </c>
      <c r="J126" s="721"/>
      <c r="K126" s="878">
        <f t="shared" si="37"/>
        <v>0</v>
      </c>
      <c r="L126" s="721"/>
      <c r="M126" s="721"/>
      <c r="N126" s="698">
        <f t="shared" si="38"/>
        <v>0</v>
      </c>
      <c r="O126" s="722"/>
      <c r="P126" s="698">
        <f t="shared" si="39"/>
        <v>0</v>
      </c>
      <c r="Q126" s="851"/>
      <c r="R126" s="698">
        <f t="shared" si="40"/>
        <v>0</v>
      </c>
      <c r="S126" s="735"/>
      <c r="T126" s="722"/>
      <c r="U126" s="698">
        <f t="shared" si="41"/>
        <v>0</v>
      </c>
      <c r="V126" s="722"/>
      <c r="W126" s="698">
        <f t="shared" si="42"/>
        <v>0</v>
      </c>
      <c r="X126" s="722"/>
    </row>
    <row r="127" spans="1:24" ht="15.75" thickBot="1">
      <c r="A127" s="786" t="s">
        <v>149</v>
      </c>
      <c r="B127" s="852" t="s">
        <v>150</v>
      </c>
      <c r="C127" s="786" t="s">
        <v>128</v>
      </c>
      <c r="D127" s="878">
        <f>D129+D131+D133+D135</f>
        <v>0</v>
      </c>
      <c r="E127" s="878">
        <f>E129+E131+E133+E135</f>
        <v>0</v>
      </c>
      <c r="F127" s="698">
        <f>F129+F131+F133+F135</f>
        <v>0</v>
      </c>
      <c r="G127" s="698">
        <f>G129+G131+G133+G135</f>
        <v>0</v>
      </c>
      <c r="H127" s="878">
        <f t="shared" si="36"/>
        <v>0</v>
      </c>
      <c r="I127" s="698">
        <f>I129+I131+I133+I135</f>
        <v>0</v>
      </c>
      <c r="J127" s="698">
        <f>J129+J131+J133+J135</f>
        <v>0</v>
      </c>
      <c r="K127" s="878">
        <f t="shared" si="37"/>
        <v>0</v>
      </c>
      <c r="L127" s="698">
        <f>L129+L131+L133+L135</f>
        <v>0</v>
      </c>
      <c r="M127" s="698">
        <f>M129+M131+M133+M135</f>
        <v>0</v>
      </c>
      <c r="N127" s="698">
        <f t="shared" si="38"/>
        <v>0</v>
      </c>
      <c r="O127" s="698">
        <f>O129+O131+O133+O135</f>
        <v>0</v>
      </c>
      <c r="P127" s="698">
        <f t="shared" si="39"/>
        <v>0</v>
      </c>
      <c r="Q127" s="698">
        <f>Q129+Q131+Q133+Q135</f>
        <v>0</v>
      </c>
      <c r="R127" s="698">
        <f t="shared" si="40"/>
        <v>0</v>
      </c>
      <c r="S127" s="698">
        <f>S129+S131+S133+S135</f>
        <v>0</v>
      </c>
      <c r="T127" s="698">
        <f>T129+T131+T133+T135</f>
        <v>0</v>
      </c>
      <c r="U127" s="698">
        <f t="shared" si="41"/>
        <v>0</v>
      </c>
      <c r="V127" s="698">
        <f>V129+V131+V133+V135</f>
        <v>0</v>
      </c>
      <c r="W127" s="698">
        <f t="shared" si="42"/>
        <v>0</v>
      </c>
      <c r="X127" s="698">
        <f>X129+X131+X133+X135</f>
        <v>0</v>
      </c>
    </row>
    <row r="128" spans="1:24" ht="15.75" thickBot="1">
      <c r="A128" s="786" t="s">
        <v>151</v>
      </c>
      <c r="B128" s="852" t="s">
        <v>152</v>
      </c>
      <c r="C128" s="786" t="s">
        <v>47</v>
      </c>
      <c r="D128" s="878">
        <f t="shared" ref="D128:D137" si="43">E128+H128+K128+N128+P128+R128+U128+W128</f>
        <v>0</v>
      </c>
      <c r="E128" s="878">
        <f t="shared" ref="E128:E137" si="44">F128+G128</f>
        <v>0</v>
      </c>
      <c r="F128" s="721"/>
      <c r="G128" s="721"/>
      <c r="H128" s="878">
        <f t="shared" si="36"/>
        <v>0</v>
      </c>
      <c r="I128" s="721"/>
      <c r="J128" s="721"/>
      <c r="K128" s="878">
        <f t="shared" si="37"/>
        <v>0</v>
      </c>
      <c r="L128" s="721"/>
      <c r="M128" s="721"/>
      <c r="N128" s="698">
        <f t="shared" si="38"/>
        <v>0</v>
      </c>
      <c r="O128" s="834"/>
      <c r="P128" s="698">
        <f t="shared" si="39"/>
        <v>0</v>
      </c>
      <c r="Q128" s="844"/>
      <c r="R128" s="698">
        <f t="shared" si="40"/>
        <v>0</v>
      </c>
      <c r="S128" s="782"/>
      <c r="T128" s="834"/>
      <c r="U128" s="698">
        <f t="shared" si="41"/>
        <v>0</v>
      </c>
      <c r="V128" s="694"/>
      <c r="W128" s="698">
        <f t="shared" si="42"/>
        <v>0</v>
      </c>
      <c r="X128" s="694"/>
    </row>
    <row r="129" spans="1:24" ht="15.75" thickBot="1">
      <c r="A129" s="786"/>
      <c r="B129" s="852"/>
      <c r="C129" s="786" t="s">
        <v>21</v>
      </c>
      <c r="D129" s="878">
        <f t="shared" si="43"/>
        <v>0</v>
      </c>
      <c r="E129" s="878">
        <f t="shared" si="44"/>
        <v>0</v>
      </c>
      <c r="F129" s="721"/>
      <c r="G129" s="721"/>
      <c r="H129" s="878">
        <f t="shared" si="36"/>
        <v>0</v>
      </c>
      <c r="I129" s="721"/>
      <c r="J129" s="721"/>
      <c r="K129" s="878">
        <f t="shared" si="37"/>
        <v>0</v>
      </c>
      <c r="L129" s="721"/>
      <c r="M129" s="721"/>
      <c r="N129" s="698">
        <f t="shared" si="38"/>
        <v>0</v>
      </c>
      <c r="O129" s="787"/>
      <c r="P129" s="698">
        <f t="shared" si="39"/>
        <v>0</v>
      </c>
      <c r="Q129" s="853"/>
      <c r="R129" s="698">
        <f t="shared" si="40"/>
        <v>0</v>
      </c>
      <c r="S129" s="714"/>
      <c r="T129" s="787"/>
      <c r="U129" s="698">
        <f t="shared" si="41"/>
        <v>0</v>
      </c>
      <c r="V129" s="698"/>
      <c r="W129" s="698">
        <f t="shared" si="42"/>
        <v>0</v>
      </c>
      <c r="X129" s="698"/>
    </row>
    <row r="130" spans="1:24" ht="15.75" thickBot="1">
      <c r="A130" s="786" t="s">
        <v>153</v>
      </c>
      <c r="B130" s="852" t="s">
        <v>154</v>
      </c>
      <c r="C130" s="786" t="s">
        <v>47</v>
      </c>
      <c r="D130" s="878">
        <f t="shared" si="43"/>
        <v>0</v>
      </c>
      <c r="E130" s="878">
        <f t="shared" si="44"/>
        <v>0</v>
      </c>
      <c r="F130" s="721"/>
      <c r="G130" s="721"/>
      <c r="H130" s="878">
        <f t="shared" si="36"/>
        <v>0</v>
      </c>
      <c r="I130" s="721"/>
      <c r="J130" s="721"/>
      <c r="K130" s="878">
        <f t="shared" si="37"/>
        <v>0</v>
      </c>
      <c r="L130" s="721"/>
      <c r="M130" s="721"/>
      <c r="N130" s="698">
        <f t="shared" si="38"/>
        <v>0</v>
      </c>
      <c r="O130" s="787"/>
      <c r="P130" s="698">
        <f t="shared" si="39"/>
        <v>0</v>
      </c>
      <c r="Q130" s="853"/>
      <c r="R130" s="698">
        <f t="shared" si="40"/>
        <v>0</v>
      </c>
      <c r="S130" s="714"/>
      <c r="T130" s="787"/>
      <c r="U130" s="698">
        <f t="shared" si="41"/>
        <v>0</v>
      </c>
      <c r="V130" s="698"/>
      <c r="W130" s="698">
        <f t="shared" si="42"/>
        <v>0</v>
      </c>
      <c r="X130" s="698"/>
    </row>
    <row r="131" spans="1:24" ht="15.75" thickBot="1">
      <c r="A131" s="786"/>
      <c r="B131" s="852"/>
      <c r="C131" s="786" t="s">
        <v>155</v>
      </c>
      <c r="D131" s="878">
        <f t="shared" si="43"/>
        <v>0</v>
      </c>
      <c r="E131" s="878">
        <f t="shared" si="44"/>
        <v>0</v>
      </c>
      <c r="F131" s="721"/>
      <c r="G131" s="721"/>
      <c r="H131" s="878">
        <f t="shared" si="36"/>
        <v>0</v>
      </c>
      <c r="I131" s="721"/>
      <c r="J131" s="721"/>
      <c r="K131" s="878">
        <f t="shared" si="37"/>
        <v>0</v>
      </c>
      <c r="L131" s="721"/>
      <c r="M131" s="721"/>
      <c r="N131" s="698">
        <f t="shared" si="38"/>
        <v>0</v>
      </c>
      <c r="O131" s="787"/>
      <c r="P131" s="698">
        <f t="shared" si="39"/>
        <v>0</v>
      </c>
      <c r="Q131" s="853"/>
      <c r="R131" s="698">
        <f t="shared" si="40"/>
        <v>0</v>
      </c>
      <c r="S131" s="714"/>
      <c r="T131" s="787"/>
      <c r="U131" s="698">
        <f t="shared" si="41"/>
        <v>0</v>
      </c>
      <c r="V131" s="698"/>
      <c r="W131" s="698">
        <f t="shared" si="42"/>
        <v>0</v>
      </c>
      <c r="X131" s="698"/>
    </row>
    <row r="132" spans="1:24" ht="15.75" thickBot="1">
      <c r="A132" s="786" t="s">
        <v>156</v>
      </c>
      <c r="B132" s="852" t="s">
        <v>157</v>
      </c>
      <c r="C132" s="786" t="s">
        <v>47</v>
      </c>
      <c r="D132" s="878">
        <f t="shared" si="43"/>
        <v>0</v>
      </c>
      <c r="E132" s="878">
        <f t="shared" si="44"/>
        <v>0</v>
      </c>
      <c r="F132" s="721"/>
      <c r="G132" s="721"/>
      <c r="H132" s="878">
        <f t="shared" si="36"/>
        <v>0</v>
      </c>
      <c r="I132" s="721"/>
      <c r="J132" s="721"/>
      <c r="K132" s="878">
        <f t="shared" si="37"/>
        <v>0</v>
      </c>
      <c r="L132" s="721"/>
      <c r="M132" s="721"/>
      <c r="N132" s="698">
        <f t="shared" si="38"/>
        <v>0</v>
      </c>
      <c r="O132" s="787"/>
      <c r="P132" s="698">
        <f t="shared" si="39"/>
        <v>0</v>
      </c>
      <c r="Q132" s="853"/>
      <c r="R132" s="698">
        <f t="shared" si="40"/>
        <v>0</v>
      </c>
      <c r="S132" s="714"/>
      <c r="T132" s="787"/>
      <c r="U132" s="698">
        <f t="shared" si="41"/>
        <v>0</v>
      </c>
      <c r="V132" s="698"/>
      <c r="W132" s="698">
        <f t="shared" si="42"/>
        <v>0</v>
      </c>
      <c r="X132" s="698"/>
    </row>
    <row r="133" spans="1:24" ht="15.75" thickBot="1">
      <c r="A133" s="786"/>
      <c r="B133" s="786" t="s">
        <v>158</v>
      </c>
      <c r="C133" s="786" t="s">
        <v>21</v>
      </c>
      <c r="D133" s="878">
        <f t="shared" si="43"/>
        <v>0</v>
      </c>
      <c r="E133" s="878">
        <f t="shared" si="44"/>
        <v>0</v>
      </c>
      <c r="F133" s="721"/>
      <c r="G133" s="721"/>
      <c r="H133" s="878">
        <f t="shared" si="36"/>
        <v>0</v>
      </c>
      <c r="I133" s="721"/>
      <c r="J133" s="721"/>
      <c r="K133" s="878">
        <f t="shared" si="37"/>
        <v>0</v>
      </c>
      <c r="L133" s="721"/>
      <c r="M133" s="721"/>
      <c r="N133" s="698">
        <f t="shared" si="38"/>
        <v>0</v>
      </c>
      <c r="O133" s="787"/>
      <c r="P133" s="698">
        <f t="shared" si="39"/>
        <v>0</v>
      </c>
      <c r="Q133" s="853"/>
      <c r="R133" s="698">
        <f t="shared" si="40"/>
        <v>0</v>
      </c>
      <c r="S133" s="714"/>
      <c r="T133" s="787"/>
      <c r="U133" s="698">
        <f t="shared" si="41"/>
        <v>0</v>
      </c>
      <c r="V133" s="698"/>
      <c r="W133" s="698">
        <f t="shared" si="42"/>
        <v>0</v>
      </c>
      <c r="X133" s="698"/>
    </row>
    <row r="134" spans="1:24" ht="15.75" thickBot="1">
      <c r="A134" s="786" t="s">
        <v>159</v>
      </c>
      <c r="B134" s="805" t="s">
        <v>160</v>
      </c>
      <c r="C134" s="786" t="s">
        <v>47</v>
      </c>
      <c r="D134" s="878">
        <f t="shared" si="43"/>
        <v>0</v>
      </c>
      <c r="E134" s="878">
        <f t="shared" si="44"/>
        <v>0</v>
      </c>
      <c r="F134" s="721"/>
      <c r="G134" s="721"/>
      <c r="H134" s="878">
        <f t="shared" si="36"/>
        <v>0</v>
      </c>
      <c r="I134" s="721"/>
      <c r="J134" s="721"/>
      <c r="K134" s="878">
        <f t="shared" si="37"/>
        <v>0</v>
      </c>
      <c r="L134" s="721"/>
      <c r="M134" s="721"/>
      <c r="N134" s="698">
        <f t="shared" si="38"/>
        <v>0</v>
      </c>
      <c r="O134" s="787"/>
      <c r="P134" s="698">
        <f t="shared" si="39"/>
        <v>0</v>
      </c>
      <c r="Q134" s="853"/>
      <c r="R134" s="698">
        <f t="shared" si="40"/>
        <v>0</v>
      </c>
      <c r="S134" s="714"/>
      <c r="T134" s="787"/>
      <c r="U134" s="698">
        <f t="shared" si="41"/>
        <v>0</v>
      </c>
      <c r="V134" s="698"/>
      <c r="W134" s="698">
        <f t="shared" si="42"/>
        <v>0</v>
      </c>
      <c r="X134" s="698"/>
    </row>
    <row r="135" spans="1:24" ht="15.75" thickBot="1">
      <c r="A135" s="828"/>
      <c r="B135" s="854"/>
      <c r="C135" s="828" t="s">
        <v>21</v>
      </c>
      <c r="D135" s="879">
        <f t="shared" si="43"/>
        <v>0</v>
      </c>
      <c r="E135" s="879">
        <f t="shared" si="44"/>
        <v>0</v>
      </c>
      <c r="F135" s="736"/>
      <c r="G135" s="736"/>
      <c r="H135" s="879">
        <f t="shared" si="36"/>
        <v>0</v>
      </c>
      <c r="I135" s="736"/>
      <c r="J135" s="736"/>
      <c r="K135" s="878">
        <f t="shared" si="37"/>
        <v>0</v>
      </c>
      <c r="L135" s="721"/>
      <c r="M135" s="721"/>
      <c r="N135" s="698">
        <f t="shared" si="38"/>
        <v>0</v>
      </c>
      <c r="O135" s="730"/>
      <c r="P135" s="698">
        <f t="shared" si="39"/>
        <v>0</v>
      </c>
      <c r="Q135" s="855"/>
      <c r="R135" s="698">
        <f t="shared" si="40"/>
        <v>0</v>
      </c>
      <c r="S135" s="729"/>
      <c r="T135" s="730"/>
      <c r="U135" s="698">
        <f t="shared" si="41"/>
        <v>0</v>
      </c>
      <c r="V135" s="726"/>
      <c r="W135" s="698">
        <f t="shared" si="42"/>
        <v>0</v>
      </c>
      <c r="X135" s="726"/>
    </row>
    <row r="136" spans="1:24" ht="15.75" thickBot="1">
      <c r="A136" s="856" t="s">
        <v>161</v>
      </c>
      <c r="B136" s="856" t="s">
        <v>162</v>
      </c>
      <c r="C136" s="856" t="s">
        <v>21</v>
      </c>
      <c r="D136" s="883">
        <f t="shared" si="43"/>
        <v>0</v>
      </c>
      <c r="E136" s="883">
        <f t="shared" si="44"/>
        <v>0</v>
      </c>
      <c r="F136" s="857"/>
      <c r="G136" s="857"/>
      <c r="H136" s="883">
        <f t="shared" si="36"/>
        <v>0</v>
      </c>
      <c r="I136" s="857"/>
      <c r="J136" s="857"/>
      <c r="K136" s="941">
        <f t="shared" si="37"/>
        <v>0</v>
      </c>
      <c r="L136" s="721"/>
      <c r="M136" s="721"/>
      <c r="N136" s="698">
        <f t="shared" si="38"/>
        <v>0</v>
      </c>
      <c r="O136" s="808"/>
      <c r="P136" s="698">
        <f t="shared" si="39"/>
        <v>0</v>
      </c>
      <c r="Q136" s="801"/>
      <c r="R136" s="698">
        <f t="shared" si="40"/>
        <v>0</v>
      </c>
      <c r="S136" s="752"/>
      <c r="T136" s="808"/>
      <c r="U136" s="698">
        <f t="shared" si="41"/>
        <v>0</v>
      </c>
      <c r="V136" s="792"/>
      <c r="W136" s="698">
        <f t="shared" si="42"/>
        <v>0</v>
      </c>
      <c r="X136" s="792"/>
    </row>
    <row r="137" spans="1:24" ht="15.75" thickBot="1">
      <c r="A137" s="856" t="s">
        <v>163</v>
      </c>
      <c r="B137" s="856" t="s">
        <v>164</v>
      </c>
      <c r="C137" s="856" t="s">
        <v>21</v>
      </c>
      <c r="D137" s="883">
        <f t="shared" si="43"/>
        <v>0</v>
      </c>
      <c r="E137" s="883">
        <f t="shared" si="44"/>
        <v>0</v>
      </c>
      <c r="F137" s="857"/>
      <c r="G137" s="857"/>
      <c r="H137" s="883">
        <f t="shared" si="36"/>
        <v>0</v>
      </c>
      <c r="I137" s="857"/>
      <c r="J137" s="857"/>
      <c r="K137" s="941">
        <f t="shared" si="37"/>
        <v>0</v>
      </c>
      <c r="L137" s="721"/>
      <c r="M137" s="721"/>
      <c r="N137" s="698">
        <f t="shared" si="38"/>
        <v>0</v>
      </c>
      <c r="O137" s="790"/>
      <c r="P137" s="698">
        <f t="shared" si="39"/>
        <v>0</v>
      </c>
      <c r="Q137" s="804"/>
      <c r="R137" s="698">
        <f t="shared" si="40"/>
        <v>0</v>
      </c>
      <c r="S137" s="803"/>
      <c r="T137" s="790"/>
      <c r="U137" s="698">
        <f t="shared" si="41"/>
        <v>0</v>
      </c>
      <c r="V137" s="797"/>
      <c r="W137" s="698">
        <f t="shared" si="42"/>
        <v>0</v>
      </c>
      <c r="X137" s="797"/>
    </row>
    <row r="138" spans="1:24">
      <c r="A138" s="856" t="s">
        <v>165</v>
      </c>
      <c r="B138" s="858" t="s">
        <v>166</v>
      </c>
      <c r="C138" s="856" t="s">
        <v>47</v>
      </c>
      <c r="D138" s="883">
        <f>2358+50+1200+2</f>
        <v>3610</v>
      </c>
      <c r="E138" s="883">
        <f t="shared" ref="E138:G139" si="45">E140+E142+E144+E146+E148+E150+E152+E154</f>
        <v>0</v>
      </c>
      <c r="F138" s="859">
        <f t="shared" si="45"/>
        <v>0</v>
      </c>
      <c r="G138" s="859">
        <f t="shared" si="45"/>
        <v>0</v>
      </c>
      <c r="H138" s="883">
        <f>I138</f>
        <v>2705</v>
      </c>
      <c r="I138" s="859">
        <v>2705</v>
      </c>
      <c r="J138" s="859">
        <f>J140+J142+J144+J146+J148+J150+J152+J154</f>
        <v>0</v>
      </c>
      <c r="K138" s="877">
        <v>905</v>
      </c>
      <c r="L138" s="860">
        <v>905</v>
      </c>
      <c r="M138" s="860"/>
      <c r="N138" s="694">
        <f t="shared" ref="N138:X139" si="46">N140+N142+N144+N146+N148+N150+N152+N154</f>
        <v>0</v>
      </c>
      <c r="O138" s="694">
        <f t="shared" si="46"/>
        <v>0</v>
      </c>
      <c r="P138" s="694">
        <f t="shared" si="46"/>
        <v>0</v>
      </c>
      <c r="Q138" s="694">
        <f t="shared" si="46"/>
        <v>0</v>
      </c>
      <c r="R138" s="694">
        <f t="shared" si="46"/>
        <v>0</v>
      </c>
      <c r="S138" s="694">
        <f t="shared" si="46"/>
        <v>0</v>
      </c>
      <c r="T138" s="694">
        <f t="shared" si="46"/>
        <v>0</v>
      </c>
      <c r="U138" s="694">
        <f t="shared" si="46"/>
        <v>0</v>
      </c>
      <c r="V138" s="694">
        <f t="shared" si="46"/>
        <v>0</v>
      </c>
      <c r="W138" s="694">
        <f t="shared" si="46"/>
        <v>0</v>
      </c>
      <c r="X138" s="694">
        <f t="shared" si="46"/>
        <v>0</v>
      </c>
    </row>
    <row r="139" spans="1:24" ht="15.75" thickBot="1">
      <c r="A139" s="856"/>
      <c r="B139" s="858" t="s">
        <v>84</v>
      </c>
      <c r="C139" s="856" t="s">
        <v>21</v>
      </c>
      <c r="D139" s="883">
        <f>25.558+2.7145+11532+57.43</f>
        <v>11617.702499999999</v>
      </c>
      <c r="E139" s="883">
        <f t="shared" si="45"/>
        <v>0</v>
      </c>
      <c r="F139" s="859">
        <f t="shared" si="45"/>
        <v>0</v>
      </c>
      <c r="G139" s="859">
        <f t="shared" si="45"/>
        <v>0</v>
      </c>
      <c r="H139" s="883">
        <f>I139</f>
        <v>11585.59</v>
      </c>
      <c r="I139" s="859">
        <v>11585.59</v>
      </c>
      <c r="J139" s="859">
        <f>J141+J143+J145+J147+J149+J151+J153+J155</f>
        <v>0</v>
      </c>
      <c r="K139" s="877">
        <v>31.407599999999999</v>
      </c>
      <c r="L139" s="860">
        <v>31.407599999999999</v>
      </c>
      <c r="M139" s="860"/>
      <c r="N139" s="694">
        <f t="shared" si="46"/>
        <v>0</v>
      </c>
      <c r="O139" s="694">
        <f t="shared" si="46"/>
        <v>0</v>
      </c>
      <c r="P139" s="694">
        <f t="shared" si="46"/>
        <v>0</v>
      </c>
      <c r="Q139" s="694">
        <f t="shared" si="46"/>
        <v>0</v>
      </c>
      <c r="R139" s="694">
        <f t="shared" si="46"/>
        <v>0</v>
      </c>
      <c r="S139" s="694">
        <f t="shared" si="46"/>
        <v>0</v>
      </c>
      <c r="T139" s="694">
        <f t="shared" si="46"/>
        <v>0</v>
      </c>
      <c r="U139" s="694">
        <f t="shared" si="46"/>
        <v>0</v>
      </c>
      <c r="V139" s="694">
        <f t="shared" si="46"/>
        <v>0</v>
      </c>
      <c r="W139" s="694">
        <f t="shared" si="46"/>
        <v>0</v>
      </c>
      <c r="X139" s="694">
        <f t="shared" si="46"/>
        <v>0</v>
      </c>
    </row>
    <row r="140" spans="1:24" ht="15.75" thickBot="1">
      <c r="A140" s="856" t="s">
        <v>167</v>
      </c>
      <c r="B140" s="856" t="s">
        <v>168</v>
      </c>
      <c r="C140" s="856" t="s">
        <v>47</v>
      </c>
      <c r="D140" s="883">
        <f t="shared" ref="D140" si="47">E140+H140+K140+N140+P140+R140+U140+W140</f>
        <v>0</v>
      </c>
      <c r="E140" s="883">
        <f t="shared" ref="E140:E155" si="48">F140+G140</f>
        <v>0</v>
      </c>
      <c r="F140" s="861"/>
      <c r="G140" s="861"/>
      <c r="H140" s="897">
        <v>0</v>
      </c>
      <c r="I140" s="861"/>
      <c r="J140" s="861"/>
      <c r="K140" s="941">
        <f t="shared" ref="K140:K155" si="49">L140+M140</f>
        <v>0</v>
      </c>
      <c r="L140" s="862"/>
      <c r="M140" s="862"/>
      <c r="N140" s="698">
        <f t="shared" ref="N140:N155" si="50">O140</f>
        <v>0</v>
      </c>
      <c r="O140" s="863"/>
      <c r="P140" s="698">
        <f t="shared" ref="P140:P155" si="51">Q140</f>
        <v>0</v>
      </c>
      <c r="Q140" s="701"/>
      <c r="R140" s="698">
        <f t="shared" ref="R140:R155" si="52">S140+T140</f>
        <v>0</v>
      </c>
      <c r="S140" s="714"/>
      <c r="T140" s="698"/>
      <c r="U140" s="698">
        <f t="shared" ref="U140:U155" si="53">V140</f>
        <v>0</v>
      </c>
      <c r="V140" s="698"/>
      <c r="W140" s="698">
        <f t="shared" ref="W140:W155" si="54">X140</f>
        <v>0</v>
      </c>
      <c r="X140" s="698"/>
    </row>
    <row r="141" spans="1:24" ht="15.75" thickBot="1">
      <c r="A141" s="856"/>
      <c r="B141" s="856"/>
      <c r="C141" s="856" t="s">
        <v>21</v>
      </c>
      <c r="D141" s="883">
        <f>E141+H143+K141+N141+P141+R141+U141+W141</f>
        <v>0</v>
      </c>
      <c r="E141" s="883">
        <f t="shared" si="48"/>
        <v>0</v>
      </c>
      <c r="F141" s="861"/>
      <c r="G141" s="861"/>
      <c r="H141" s="897">
        <v>0</v>
      </c>
      <c r="I141" s="861"/>
      <c r="J141" s="861"/>
      <c r="K141" s="941">
        <f t="shared" si="49"/>
        <v>0</v>
      </c>
      <c r="L141" s="862"/>
      <c r="M141" s="862"/>
      <c r="N141" s="698">
        <f t="shared" si="50"/>
        <v>0</v>
      </c>
      <c r="O141" s="863"/>
      <c r="P141" s="698">
        <f t="shared" si="51"/>
        <v>0</v>
      </c>
      <c r="Q141" s="701"/>
      <c r="R141" s="698">
        <f t="shared" si="52"/>
        <v>0</v>
      </c>
      <c r="S141" s="714"/>
      <c r="T141" s="698"/>
      <c r="U141" s="698">
        <f t="shared" si="53"/>
        <v>0</v>
      </c>
      <c r="V141" s="698"/>
      <c r="W141" s="698">
        <f t="shared" si="54"/>
        <v>0</v>
      </c>
      <c r="X141" s="698"/>
    </row>
    <row r="142" spans="1:24" ht="15.75" thickBot="1">
      <c r="A142" s="856" t="s">
        <v>169</v>
      </c>
      <c r="B142" s="856" t="s">
        <v>170</v>
      </c>
      <c r="C142" s="856" t="s">
        <v>47</v>
      </c>
      <c r="D142" s="883">
        <f>E142+I142+K142+N142+P142+R142+U142+W142</f>
        <v>0</v>
      </c>
      <c r="E142" s="883">
        <f t="shared" si="48"/>
        <v>0</v>
      </c>
      <c r="F142" s="861"/>
      <c r="G142" s="861"/>
      <c r="H142" s="897">
        <v>0</v>
      </c>
      <c r="I142" s="861"/>
      <c r="J142" s="861"/>
      <c r="K142" s="941">
        <f t="shared" si="49"/>
        <v>0</v>
      </c>
      <c r="L142" s="862"/>
      <c r="M142" s="862"/>
      <c r="N142" s="698">
        <f t="shared" si="50"/>
        <v>0</v>
      </c>
      <c r="O142" s="863"/>
      <c r="P142" s="698">
        <f t="shared" si="51"/>
        <v>0</v>
      </c>
      <c r="Q142" s="701"/>
      <c r="R142" s="698">
        <f t="shared" si="52"/>
        <v>0</v>
      </c>
      <c r="S142" s="714"/>
      <c r="T142" s="698"/>
      <c r="U142" s="698">
        <f t="shared" si="53"/>
        <v>0</v>
      </c>
      <c r="V142" s="698"/>
      <c r="W142" s="698">
        <f t="shared" si="54"/>
        <v>0</v>
      </c>
      <c r="X142" s="698"/>
    </row>
    <row r="143" spans="1:24" ht="15.75" thickBot="1">
      <c r="A143" s="856"/>
      <c r="B143" s="856"/>
      <c r="C143" s="856" t="s">
        <v>21</v>
      </c>
      <c r="D143" s="883">
        <f>E143+I143+K143+N143+P143+R143+U143+W143</f>
        <v>0</v>
      </c>
      <c r="E143" s="883">
        <f t="shared" si="48"/>
        <v>0</v>
      </c>
      <c r="F143" s="861"/>
      <c r="G143" s="861"/>
      <c r="H143" s="897">
        <v>0</v>
      </c>
      <c r="I143" s="861"/>
      <c r="J143" s="861"/>
      <c r="K143" s="941">
        <f t="shared" si="49"/>
        <v>0</v>
      </c>
      <c r="L143" s="862"/>
      <c r="M143" s="862"/>
      <c r="N143" s="698">
        <f t="shared" si="50"/>
        <v>0</v>
      </c>
      <c r="O143" s="863"/>
      <c r="P143" s="698">
        <f t="shared" si="51"/>
        <v>0</v>
      </c>
      <c r="Q143" s="701"/>
      <c r="R143" s="698">
        <f t="shared" si="52"/>
        <v>0</v>
      </c>
      <c r="S143" s="714"/>
      <c r="T143" s="698"/>
      <c r="U143" s="698">
        <f t="shared" si="53"/>
        <v>0</v>
      </c>
      <c r="V143" s="698"/>
      <c r="W143" s="698">
        <f t="shared" si="54"/>
        <v>0</v>
      </c>
      <c r="X143" s="698"/>
    </row>
    <row r="144" spans="1:24" ht="15.75" thickBot="1">
      <c r="A144" s="856" t="s">
        <v>171</v>
      </c>
      <c r="B144" s="856" t="s">
        <v>172</v>
      </c>
      <c r="C144" s="856" t="s">
        <v>47</v>
      </c>
      <c r="D144" s="883">
        <f>E144+I144+K144+N144+P144+R144+U144+W144</f>
        <v>0</v>
      </c>
      <c r="E144" s="883">
        <f t="shared" si="48"/>
        <v>0</v>
      </c>
      <c r="F144" s="861"/>
      <c r="G144" s="861"/>
      <c r="H144" s="897">
        <v>0</v>
      </c>
      <c r="I144" s="861"/>
      <c r="J144" s="861"/>
      <c r="K144" s="941">
        <f t="shared" si="49"/>
        <v>0</v>
      </c>
      <c r="L144" s="862"/>
      <c r="M144" s="862"/>
      <c r="N144" s="698">
        <f t="shared" si="50"/>
        <v>0</v>
      </c>
      <c r="O144" s="863"/>
      <c r="P144" s="698">
        <f t="shared" si="51"/>
        <v>0</v>
      </c>
      <c r="Q144" s="701"/>
      <c r="R144" s="698">
        <f t="shared" si="52"/>
        <v>0</v>
      </c>
      <c r="S144" s="714"/>
      <c r="T144" s="698"/>
      <c r="U144" s="698">
        <f t="shared" si="53"/>
        <v>0</v>
      </c>
      <c r="V144" s="698"/>
      <c r="W144" s="698">
        <f t="shared" si="54"/>
        <v>0</v>
      </c>
      <c r="X144" s="698"/>
    </row>
    <row r="145" spans="1:24" ht="15.75" thickBot="1">
      <c r="A145" s="856"/>
      <c r="B145" s="856"/>
      <c r="C145" s="856" t="s">
        <v>21</v>
      </c>
      <c r="D145" s="883">
        <f>E145+I145+K145+N145+P145+R145+U145+W145</f>
        <v>0</v>
      </c>
      <c r="E145" s="883">
        <f t="shared" si="48"/>
        <v>0</v>
      </c>
      <c r="F145" s="861"/>
      <c r="G145" s="861"/>
      <c r="H145" s="897">
        <v>0</v>
      </c>
      <c r="I145" s="861"/>
      <c r="J145" s="861"/>
      <c r="K145" s="941"/>
      <c r="L145" s="862"/>
      <c r="M145" s="862"/>
      <c r="N145" s="698">
        <f t="shared" si="50"/>
        <v>0</v>
      </c>
      <c r="O145" s="863"/>
      <c r="P145" s="698">
        <f t="shared" si="51"/>
        <v>0</v>
      </c>
      <c r="Q145" s="701"/>
      <c r="R145" s="698">
        <f t="shared" si="52"/>
        <v>0</v>
      </c>
      <c r="S145" s="714"/>
      <c r="T145" s="698"/>
      <c r="U145" s="698">
        <f t="shared" si="53"/>
        <v>0</v>
      </c>
      <c r="V145" s="698"/>
      <c r="W145" s="698">
        <f t="shared" si="54"/>
        <v>0</v>
      </c>
      <c r="X145" s="698"/>
    </row>
    <row r="146" spans="1:24" ht="15.75" thickBot="1">
      <c r="A146" s="856" t="s">
        <v>173</v>
      </c>
      <c r="B146" s="856" t="s">
        <v>174</v>
      </c>
      <c r="C146" s="856" t="s">
        <v>47</v>
      </c>
      <c r="D146" s="883">
        <v>0</v>
      </c>
      <c r="E146" s="883">
        <f t="shared" si="48"/>
        <v>0</v>
      </c>
      <c r="F146" s="861"/>
      <c r="G146" s="861"/>
      <c r="H146" s="897">
        <v>0</v>
      </c>
      <c r="I146" s="861"/>
      <c r="J146" s="861"/>
      <c r="K146" s="941">
        <f t="shared" si="49"/>
        <v>0</v>
      </c>
      <c r="L146" s="862"/>
      <c r="M146" s="862"/>
      <c r="N146" s="698">
        <f t="shared" si="50"/>
        <v>0</v>
      </c>
      <c r="O146" s="863"/>
      <c r="P146" s="698">
        <f t="shared" si="51"/>
        <v>0</v>
      </c>
      <c r="Q146" s="701"/>
      <c r="R146" s="698">
        <f t="shared" si="52"/>
        <v>0</v>
      </c>
      <c r="S146" s="714"/>
      <c r="T146" s="698"/>
      <c r="U146" s="698">
        <f t="shared" si="53"/>
        <v>0</v>
      </c>
      <c r="V146" s="698"/>
      <c r="W146" s="698">
        <f t="shared" si="54"/>
        <v>0</v>
      </c>
      <c r="X146" s="698"/>
    </row>
    <row r="147" spans="1:24" ht="15.75" thickBot="1">
      <c r="A147" s="856"/>
      <c r="B147" s="856"/>
      <c r="C147" s="856" t="s">
        <v>21</v>
      </c>
      <c r="D147" s="883">
        <v>0</v>
      </c>
      <c r="E147" s="883">
        <f t="shared" si="48"/>
        <v>0</v>
      </c>
      <c r="F147" s="861"/>
      <c r="G147" s="861"/>
      <c r="H147" s="897">
        <v>0</v>
      </c>
      <c r="I147" s="861"/>
      <c r="J147" s="861"/>
      <c r="K147" s="941">
        <f t="shared" si="49"/>
        <v>0</v>
      </c>
      <c r="L147" s="862"/>
      <c r="M147" s="862"/>
      <c r="N147" s="698">
        <f t="shared" si="50"/>
        <v>0</v>
      </c>
      <c r="O147" s="863"/>
      <c r="P147" s="698">
        <f t="shared" si="51"/>
        <v>0</v>
      </c>
      <c r="Q147" s="864"/>
      <c r="R147" s="698">
        <f t="shared" si="52"/>
        <v>0</v>
      </c>
      <c r="S147" s="729"/>
      <c r="T147" s="726"/>
      <c r="U147" s="698">
        <f t="shared" si="53"/>
        <v>0</v>
      </c>
      <c r="V147" s="726"/>
      <c r="W147" s="698">
        <f t="shared" si="54"/>
        <v>0</v>
      </c>
      <c r="X147" s="726"/>
    </row>
    <row r="148" spans="1:24" ht="15.75" thickBot="1">
      <c r="A148" s="856" t="s">
        <v>175</v>
      </c>
      <c r="B148" s="856" t="s">
        <v>176</v>
      </c>
      <c r="C148" s="856" t="s">
        <v>47</v>
      </c>
      <c r="D148" s="883">
        <f t="shared" ref="D148:D155" si="55">E148+H148+K148+N148+P148+R148+U148+W148</f>
        <v>907.81</v>
      </c>
      <c r="E148" s="883">
        <f t="shared" si="48"/>
        <v>0</v>
      </c>
      <c r="F148" s="861"/>
      <c r="G148" s="861"/>
      <c r="H148" s="897">
        <f>I148</f>
        <v>2.81</v>
      </c>
      <c r="I148" s="861">
        <v>2.81</v>
      </c>
      <c r="J148" s="861"/>
      <c r="K148" s="941">
        <f>L148+M148</f>
        <v>905</v>
      </c>
      <c r="L148" s="860">
        <v>905</v>
      </c>
      <c r="M148" s="862"/>
      <c r="N148" s="698">
        <f t="shared" si="50"/>
        <v>0</v>
      </c>
      <c r="O148" s="863"/>
      <c r="P148" s="698">
        <f t="shared" si="51"/>
        <v>0</v>
      </c>
      <c r="Q148" s="701"/>
      <c r="R148" s="698">
        <f t="shared" si="52"/>
        <v>0</v>
      </c>
      <c r="S148" s="714"/>
      <c r="T148" s="698"/>
      <c r="U148" s="698">
        <f t="shared" si="53"/>
        <v>0</v>
      </c>
      <c r="V148" s="698"/>
      <c r="W148" s="698">
        <f t="shared" si="54"/>
        <v>0</v>
      </c>
      <c r="X148" s="698"/>
    </row>
    <row r="149" spans="1:24" ht="15.75" thickBot="1">
      <c r="A149" s="856"/>
      <c r="B149" s="856"/>
      <c r="C149" s="856" t="s">
        <v>21</v>
      </c>
      <c r="D149" s="883">
        <f t="shared" si="55"/>
        <v>59.805599999999998</v>
      </c>
      <c r="E149" s="883">
        <f t="shared" si="48"/>
        <v>0</v>
      </c>
      <c r="F149" s="861"/>
      <c r="G149" s="861"/>
      <c r="H149" s="897">
        <f>I149</f>
        <v>28.398</v>
      </c>
      <c r="I149" s="861">
        <v>28.398</v>
      </c>
      <c r="J149" s="861"/>
      <c r="K149" s="941">
        <f>L149+M149</f>
        <v>31.407599999999999</v>
      </c>
      <c r="L149" s="860">
        <v>31.407599999999999</v>
      </c>
      <c r="M149" s="862"/>
      <c r="N149" s="698">
        <f t="shared" si="50"/>
        <v>0</v>
      </c>
      <c r="O149" s="863"/>
      <c r="P149" s="698">
        <f t="shared" si="51"/>
        <v>0</v>
      </c>
      <c r="Q149" s="701"/>
      <c r="R149" s="698">
        <f t="shared" si="52"/>
        <v>0</v>
      </c>
      <c r="S149" s="714"/>
      <c r="T149" s="698"/>
      <c r="U149" s="698">
        <f t="shared" si="53"/>
        <v>0</v>
      </c>
      <c r="V149" s="698"/>
      <c r="W149" s="698">
        <f t="shared" si="54"/>
        <v>0</v>
      </c>
      <c r="X149" s="698"/>
    </row>
    <row r="150" spans="1:24" ht="15.75" thickBot="1">
      <c r="A150" s="856" t="s">
        <v>177</v>
      </c>
      <c r="B150" s="856" t="s">
        <v>178</v>
      </c>
      <c r="C150" s="856" t="s">
        <v>47</v>
      </c>
      <c r="D150" s="883">
        <f t="shared" si="55"/>
        <v>0</v>
      </c>
      <c r="E150" s="883">
        <f t="shared" si="48"/>
        <v>0</v>
      </c>
      <c r="F150" s="861"/>
      <c r="G150" s="861"/>
      <c r="H150" s="897">
        <v>0</v>
      </c>
      <c r="I150" s="861"/>
      <c r="J150" s="861"/>
      <c r="K150" s="941">
        <f t="shared" si="49"/>
        <v>0</v>
      </c>
      <c r="L150" s="862"/>
      <c r="M150" s="862"/>
      <c r="N150" s="698">
        <f t="shared" si="50"/>
        <v>0</v>
      </c>
      <c r="O150" s="863"/>
      <c r="P150" s="698">
        <f t="shared" si="51"/>
        <v>0</v>
      </c>
      <c r="Q150" s="701"/>
      <c r="R150" s="698">
        <f t="shared" si="52"/>
        <v>0</v>
      </c>
      <c r="S150" s="714"/>
      <c r="T150" s="698"/>
      <c r="U150" s="698">
        <f t="shared" si="53"/>
        <v>0</v>
      </c>
      <c r="V150" s="698"/>
      <c r="W150" s="698">
        <f t="shared" si="54"/>
        <v>0</v>
      </c>
      <c r="X150" s="698"/>
    </row>
    <row r="151" spans="1:24" ht="15.75" thickBot="1">
      <c r="A151" s="856"/>
      <c r="B151" s="856"/>
      <c r="C151" s="856" t="s">
        <v>21</v>
      </c>
      <c r="D151" s="883">
        <f t="shared" si="55"/>
        <v>0</v>
      </c>
      <c r="E151" s="883">
        <f t="shared" si="48"/>
        <v>0</v>
      </c>
      <c r="F151" s="861"/>
      <c r="G151" s="861"/>
      <c r="H151" s="897">
        <v>0</v>
      </c>
      <c r="I151" s="861"/>
      <c r="J151" s="861"/>
      <c r="K151" s="941">
        <f t="shared" si="49"/>
        <v>0</v>
      </c>
      <c r="L151" s="862"/>
      <c r="M151" s="862"/>
      <c r="N151" s="698">
        <f t="shared" si="50"/>
        <v>0</v>
      </c>
      <c r="O151" s="863"/>
      <c r="P151" s="698">
        <f t="shared" si="51"/>
        <v>0</v>
      </c>
      <c r="Q151" s="701"/>
      <c r="R151" s="698">
        <f t="shared" si="52"/>
        <v>0</v>
      </c>
      <c r="S151" s="714"/>
      <c r="T151" s="698"/>
      <c r="U151" s="698">
        <f t="shared" si="53"/>
        <v>0</v>
      </c>
      <c r="V151" s="698"/>
      <c r="W151" s="698">
        <f t="shared" si="54"/>
        <v>0</v>
      </c>
      <c r="X151" s="698"/>
    </row>
    <row r="152" spans="1:24" ht="15.75" thickBot="1">
      <c r="A152" s="856" t="s">
        <v>179</v>
      </c>
      <c r="B152" s="856" t="s">
        <v>180</v>
      </c>
      <c r="C152" s="856" t="s">
        <v>47</v>
      </c>
      <c r="D152" s="883">
        <f>E152+I152+K152+N152+P152+R152+U152+W152</f>
        <v>0</v>
      </c>
      <c r="E152" s="883">
        <f t="shared" si="48"/>
        <v>0</v>
      </c>
      <c r="F152" s="861"/>
      <c r="G152" s="861"/>
      <c r="H152" s="897">
        <v>0</v>
      </c>
      <c r="I152" s="861"/>
      <c r="J152" s="861"/>
      <c r="K152" s="941">
        <f t="shared" si="49"/>
        <v>0</v>
      </c>
      <c r="L152" s="862"/>
      <c r="M152" s="862"/>
      <c r="N152" s="698">
        <f t="shared" si="50"/>
        <v>0</v>
      </c>
      <c r="O152" s="863"/>
      <c r="P152" s="698">
        <f t="shared" si="51"/>
        <v>0</v>
      </c>
      <c r="Q152" s="701"/>
      <c r="R152" s="698">
        <f t="shared" si="52"/>
        <v>0</v>
      </c>
      <c r="S152" s="714"/>
      <c r="T152" s="698"/>
      <c r="U152" s="698">
        <f t="shared" si="53"/>
        <v>0</v>
      </c>
      <c r="V152" s="698"/>
      <c r="W152" s="698">
        <f t="shared" si="54"/>
        <v>0</v>
      </c>
      <c r="X152" s="698"/>
    </row>
    <row r="153" spans="1:24" ht="15.75" thickBot="1">
      <c r="A153" s="856"/>
      <c r="B153" s="856"/>
      <c r="C153" s="856" t="s">
        <v>21</v>
      </c>
      <c r="D153" s="883">
        <f>E153+I153+K153+N153+P153+R153+U153+W153</f>
        <v>0</v>
      </c>
      <c r="E153" s="883">
        <f t="shared" si="48"/>
        <v>0</v>
      </c>
      <c r="F153" s="861"/>
      <c r="G153" s="861"/>
      <c r="H153" s="897">
        <v>0</v>
      </c>
      <c r="I153" s="861"/>
      <c r="J153" s="861"/>
      <c r="K153" s="941">
        <f t="shared" si="49"/>
        <v>0</v>
      </c>
      <c r="L153" s="862"/>
      <c r="M153" s="862"/>
      <c r="N153" s="698">
        <f t="shared" si="50"/>
        <v>0</v>
      </c>
      <c r="O153" s="863"/>
      <c r="P153" s="698">
        <f t="shared" si="51"/>
        <v>0</v>
      </c>
      <c r="Q153" s="701"/>
      <c r="R153" s="698">
        <f t="shared" si="52"/>
        <v>0</v>
      </c>
      <c r="S153" s="714"/>
      <c r="T153" s="698"/>
      <c r="U153" s="698">
        <f t="shared" si="53"/>
        <v>0</v>
      </c>
      <c r="V153" s="698"/>
      <c r="W153" s="698">
        <f t="shared" si="54"/>
        <v>0</v>
      </c>
      <c r="X153" s="698"/>
    </row>
    <row r="154" spans="1:24" ht="15.75" thickBot="1">
      <c r="A154" s="856" t="s">
        <v>181</v>
      </c>
      <c r="B154" s="856" t="s">
        <v>182</v>
      </c>
      <c r="C154" s="856" t="s">
        <v>47</v>
      </c>
      <c r="D154" s="883">
        <f t="shared" si="55"/>
        <v>0</v>
      </c>
      <c r="E154" s="883">
        <f t="shared" si="48"/>
        <v>0</v>
      </c>
      <c r="F154" s="861"/>
      <c r="G154" s="861"/>
      <c r="H154" s="897">
        <v>0</v>
      </c>
      <c r="I154" s="861"/>
      <c r="J154" s="861"/>
      <c r="K154" s="941">
        <f t="shared" si="49"/>
        <v>0</v>
      </c>
      <c r="L154" s="862"/>
      <c r="M154" s="862"/>
      <c r="N154" s="698">
        <f t="shared" si="50"/>
        <v>0</v>
      </c>
      <c r="O154" s="852"/>
      <c r="P154" s="698">
        <f t="shared" si="51"/>
        <v>0</v>
      </c>
      <c r="Q154" s="701"/>
      <c r="R154" s="698">
        <f t="shared" si="52"/>
        <v>0</v>
      </c>
      <c r="S154" s="714"/>
      <c r="T154" s="698"/>
      <c r="U154" s="698">
        <f t="shared" si="53"/>
        <v>0</v>
      </c>
      <c r="V154" s="698"/>
      <c r="W154" s="698">
        <f t="shared" si="54"/>
        <v>0</v>
      </c>
      <c r="X154" s="698"/>
    </row>
    <row r="155" spans="1:24" ht="15.75" thickBot="1">
      <c r="A155" s="856"/>
      <c r="B155" s="856"/>
      <c r="C155" s="856" t="s">
        <v>21</v>
      </c>
      <c r="D155" s="883">
        <f t="shared" si="55"/>
        <v>0</v>
      </c>
      <c r="E155" s="883">
        <f t="shared" si="48"/>
        <v>0</v>
      </c>
      <c r="F155" s="861"/>
      <c r="G155" s="861"/>
      <c r="H155" s="897">
        <v>0</v>
      </c>
      <c r="I155" s="861"/>
      <c r="J155" s="861"/>
      <c r="K155" s="941">
        <f t="shared" si="49"/>
        <v>0</v>
      </c>
      <c r="L155" s="862"/>
      <c r="M155" s="862"/>
      <c r="N155" s="698">
        <f t="shared" si="50"/>
        <v>0</v>
      </c>
      <c r="O155" s="804"/>
      <c r="P155" s="698">
        <f t="shared" si="51"/>
        <v>0</v>
      </c>
      <c r="Q155" s="747"/>
      <c r="R155" s="698">
        <f t="shared" si="52"/>
        <v>0</v>
      </c>
      <c r="S155" s="742"/>
      <c r="T155" s="720"/>
      <c r="U155" s="698">
        <f t="shared" si="53"/>
        <v>0</v>
      </c>
      <c r="V155" s="720"/>
      <c r="W155" s="698">
        <f t="shared" si="54"/>
        <v>0</v>
      </c>
      <c r="X155" s="720"/>
    </row>
    <row r="156" spans="1:24">
      <c r="A156" s="829"/>
      <c r="B156" s="829"/>
      <c r="C156" s="829"/>
      <c r="D156" s="1300"/>
      <c r="E156" s="1300"/>
      <c r="F156" s="1301"/>
      <c r="G156" s="1301"/>
      <c r="H156" s="1302"/>
      <c r="I156" s="1301"/>
      <c r="J156" s="1301"/>
      <c r="K156" s="885"/>
      <c r="L156" s="866"/>
      <c r="M156" s="866"/>
      <c r="N156" s="866"/>
      <c r="O156" s="866"/>
      <c r="P156" s="866"/>
      <c r="Q156" s="866"/>
      <c r="R156" s="866"/>
      <c r="S156" s="866"/>
      <c r="T156" s="866"/>
      <c r="U156" s="866"/>
      <c r="V156" s="866"/>
      <c r="W156" s="866"/>
      <c r="X156" s="866"/>
    </row>
    <row r="157" spans="1:24">
      <c r="A157" s="829"/>
      <c r="B157" s="829"/>
      <c r="C157" s="829"/>
      <c r="D157" s="1300"/>
      <c r="E157" s="1300"/>
      <c r="F157" s="1301"/>
      <c r="G157" s="1301"/>
      <c r="H157" s="1302"/>
      <c r="I157" s="1301"/>
      <c r="J157" s="1301"/>
      <c r="K157" s="885"/>
      <c r="L157" s="866"/>
      <c r="M157" s="866"/>
      <c r="N157" s="866"/>
      <c r="O157" s="866"/>
      <c r="P157" s="866"/>
      <c r="Q157" s="866"/>
      <c r="R157" s="866"/>
      <c r="S157" s="866"/>
      <c r="T157" s="866"/>
      <c r="U157" s="866"/>
      <c r="V157" s="866"/>
      <c r="W157" s="866"/>
      <c r="X157" s="866"/>
    </row>
    <row r="158" spans="1:24">
      <c r="A158" s="829"/>
      <c r="B158" s="829"/>
      <c r="C158" s="829"/>
      <c r="D158" s="1300"/>
      <c r="E158" s="1300"/>
      <c r="F158" s="1301"/>
      <c r="G158" s="1301"/>
      <c r="H158" s="1302"/>
      <c r="I158" s="1301"/>
      <c r="J158" s="1301"/>
      <c r="K158" s="885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</row>
    <row r="159" spans="1:24">
      <c r="A159" s="829"/>
      <c r="B159" s="829"/>
      <c r="C159" s="829"/>
      <c r="D159" s="1300"/>
      <c r="E159" s="1300"/>
      <c r="F159" s="1301"/>
      <c r="G159" s="1301"/>
      <c r="H159" s="1302"/>
      <c r="I159" s="1301"/>
      <c r="J159" s="1301"/>
      <c r="K159" s="885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</row>
    <row r="160" spans="1:24">
      <c r="A160" s="865" t="s">
        <v>211</v>
      </c>
      <c r="B160" s="865"/>
      <c r="C160" s="865"/>
      <c r="D160" s="884"/>
      <c r="E160" s="884"/>
      <c r="F160" s="866"/>
      <c r="G160" s="866"/>
      <c r="H160" s="885"/>
      <c r="I160" s="866"/>
      <c r="J160" s="866"/>
    </row>
    <row r="161" spans="1:10">
      <c r="A161" s="1720" t="s">
        <v>212</v>
      </c>
      <c r="B161" s="1720"/>
      <c r="C161" s="1720"/>
      <c r="D161" s="1720"/>
      <c r="E161" s="1720"/>
      <c r="F161" s="1720"/>
      <c r="G161" s="1720"/>
      <c r="H161" s="1720"/>
      <c r="I161" s="1720"/>
      <c r="J161" s="1720"/>
    </row>
    <row r="162" spans="1:10">
      <c r="A162" s="867"/>
      <c r="B162" s="866"/>
      <c r="C162" s="866"/>
      <c r="D162" s="885"/>
      <c r="E162" s="885"/>
      <c r="F162" s="866"/>
      <c r="G162" s="866"/>
      <c r="H162" s="885"/>
      <c r="I162" s="866"/>
      <c r="J162" s="866"/>
    </row>
    <row r="163" spans="1:10">
      <c r="A163" s="865" t="s">
        <v>213</v>
      </c>
      <c r="B163" s="865"/>
      <c r="C163" s="865"/>
      <c r="D163" s="884"/>
      <c r="E163" s="884"/>
      <c r="F163" s="866"/>
      <c r="G163" s="866"/>
      <c r="H163" s="885"/>
      <c r="I163" s="866"/>
      <c r="J163" s="866"/>
    </row>
  </sheetData>
  <mergeCells count="27">
    <mergeCell ref="I1:K1"/>
    <mergeCell ref="T1:X1"/>
    <mergeCell ref="I2:K2"/>
    <mergeCell ref="T2:X2"/>
    <mergeCell ref="I3:K3"/>
    <mergeCell ref="T3:X3"/>
    <mergeCell ref="I4:K4"/>
    <mergeCell ref="T4:X4"/>
    <mergeCell ref="T5:X5"/>
    <mergeCell ref="A6:M6"/>
    <mergeCell ref="A9:A11"/>
    <mergeCell ref="B9:B11"/>
    <mergeCell ref="C9:C11"/>
    <mergeCell ref="D9:D11"/>
    <mergeCell ref="E9:Q9"/>
    <mergeCell ref="U9:V10"/>
    <mergeCell ref="W9:X10"/>
    <mergeCell ref="E10:G10"/>
    <mergeCell ref="H10:J10"/>
    <mergeCell ref="K10:M10"/>
    <mergeCell ref="N10:O10"/>
    <mergeCell ref="P10:Q10"/>
    <mergeCell ref="A13:A15"/>
    <mergeCell ref="A100:T100"/>
    <mergeCell ref="I5:M5"/>
    <mergeCell ref="A161:J161"/>
    <mergeCell ref="R9:T10"/>
  </mergeCells>
  <pageMargins left="0.82677165354330717" right="0.23622047244094491" top="0.74803149606299213" bottom="0.74803149606299213" header="0.31496062992125984" footer="0.31496062992125984"/>
  <pageSetup paperSize="9" scale="51" orientation="portrait" r:id="rId1"/>
  <rowBreaks count="1" manualBreakCount="1">
    <brk id="86" max="25" man="1"/>
  </rowBreaks>
  <colBreaks count="1" manualBreakCount="1">
    <brk id="14" max="1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2"/>
  <sheetViews>
    <sheetView zoomScale="80" zoomScaleNormal="8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1" sqref="A21:XFD22"/>
    </sheetView>
  </sheetViews>
  <sheetFormatPr defaultColWidth="8.85546875" defaultRowHeight="15"/>
  <cols>
    <col min="1" max="1" width="7.42578125" style="9" customWidth="1"/>
    <col min="2" max="2" width="64.5703125" style="9" customWidth="1"/>
    <col min="3" max="3" width="12.140625" style="9" customWidth="1"/>
    <col min="4" max="4" width="14.5703125" style="899" customWidth="1"/>
    <col min="5" max="5" width="9.140625" style="899" customWidth="1"/>
    <col min="6" max="7" width="8.85546875" style="9" customWidth="1"/>
    <col min="8" max="8" width="12.85546875" style="923" customWidth="1"/>
    <col min="9" max="9" width="12.42578125" style="9" customWidth="1"/>
    <col min="10" max="10" width="12.7109375" style="9" customWidth="1"/>
    <col min="11" max="11" width="11.5703125" style="899" customWidth="1"/>
    <col min="12" max="12" width="18.140625" style="9" customWidth="1"/>
    <col min="13" max="13" width="15" style="9" customWidth="1"/>
    <col min="14" max="14" width="0.5703125" style="9" customWidth="1"/>
    <col min="15" max="15" width="12.140625" style="9" customWidth="1"/>
    <col min="16" max="16" width="0.5703125" style="10" customWidth="1"/>
    <col min="17" max="17" width="8.85546875" style="9" customWidth="1"/>
    <col min="18" max="19" width="8.85546875" style="10" customWidth="1"/>
    <col min="20" max="20" width="8.85546875" style="9" customWidth="1"/>
    <col min="21" max="21" width="0.140625" style="10" customWidth="1"/>
    <col min="22" max="22" width="8.85546875" style="10" customWidth="1"/>
    <col min="23" max="23" width="0.140625" style="10" customWidth="1"/>
    <col min="24" max="24" width="20.7109375" style="10" customWidth="1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1" spans="1:27" ht="15.75" customHeight="1">
      <c r="I1" s="1756" t="s">
        <v>184</v>
      </c>
      <c r="J1" s="1756"/>
      <c r="K1" s="1756"/>
      <c r="L1" s="622"/>
      <c r="M1" s="622"/>
      <c r="P1" s="9"/>
      <c r="T1" s="1755"/>
      <c r="U1" s="1755"/>
      <c r="V1" s="1755"/>
      <c r="W1" s="1755"/>
      <c r="X1" s="1755"/>
    </row>
    <row r="2" spans="1:27" ht="15.75" customHeight="1">
      <c r="I2" s="1756" t="s">
        <v>185</v>
      </c>
      <c r="J2" s="1756"/>
      <c r="K2" s="1756"/>
      <c r="L2" s="622"/>
      <c r="M2" s="622"/>
      <c r="P2" s="9"/>
      <c r="T2" s="1755"/>
      <c r="U2" s="1755"/>
      <c r="V2" s="1755"/>
      <c r="W2" s="1755"/>
      <c r="X2" s="1755"/>
    </row>
    <row r="3" spans="1:27" ht="15.75" customHeight="1">
      <c r="I3" s="1756" t="s">
        <v>186</v>
      </c>
      <c r="J3" s="1756"/>
      <c r="K3" s="1756"/>
      <c r="L3" s="622"/>
      <c r="M3" s="622"/>
      <c r="P3" s="9"/>
      <c r="T3" s="1755"/>
      <c r="U3" s="1755"/>
      <c r="V3" s="1755"/>
      <c r="W3" s="1755"/>
      <c r="X3" s="1755"/>
    </row>
    <row r="4" spans="1:27" ht="18" customHeight="1">
      <c r="I4" s="1756" t="s">
        <v>187</v>
      </c>
      <c r="J4" s="1756"/>
      <c r="K4" s="1756"/>
      <c r="L4" s="622"/>
      <c r="M4" s="622"/>
      <c r="P4" s="9"/>
      <c r="T4" s="1755"/>
      <c r="U4" s="1755"/>
      <c r="V4" s="1755"/>
      <c r="W4" s="1755"/>
      <c r="X4" s="1755"/>
    </row>
    <row r="5" spans="1:27" ht="32.25" customHeight="1">
      <c r="I5" s="1756" t="s">
        <v>210</v>
      </c>
      <c r="J5" s="1756"/>
      <c r="K5" s="1756"/>
      <c r="L5" s="1756"/>
      <c r="M5" s="622"/>
      <c r="P5" s="9"/>
      <c r="T5" s="1755"/>
      <c r="U5" s="1755"/>
      <c r="V5" s="1755"/>
      <c r="W5" s="1755"/>
      <c r="X5" s="1755"/>
    </row>
    <row r="6" spans="1:27" ht="16.5" customHeight="1">
      <c r="A6" s="1754" t="s">
        <v>302</v>
      </c>
      <c r="B6" s="1754"/>
      <c r="C6" s="1754"/>
      <c r="D6" s="1754"/>
      <c r="E6" s="1754"/>
      <c r="F6" s="1754"/>
      <c r="G6" s="1754"/>
      <c r="H6" s="1754"/>
      <c r="I6" s="1754"/>
      <c r="J6" s="1754"/>
      <c r="K6" s="1754"/>
      <c r="L6" s="1754"/>
      <c r="M6" s="1754"/>
      <c r="N6" s="29"/>
      <c r="O6" s="29"/>
      <c r="P6" s="29"/>
      <c r="Q6" s="29"/>
      <c r="R6" s="29"/>
      <c r="S6" s="29"/>
      <c r="T6" s="29"/>
      <c r="U6" s="9"/>
      <c r="V6" s="9"/>
      <c r="W6" s="9"/>
      <c r="X6" s="9"/>
    </row>
    <row r="7" spans="1:27" ht="18" customHeight="1" thickBot="1">
      <c r="A7" s="594" t="s">
        <v>190</v>
      </c>
      <c r="B7" s="594"/>
      <c r="C7" s="594"/>
      <c r="D7" s="900"/>
      <c r="E7" s="900"/>
      <c r="F7" s="594"/>
      <c r="G7" s="594"/>
      <c r="H7" s="900"/>
      <c r="I7" s="594"/>
      <c r="J7" s="594"/>
      <c r="K7" s="900"/>
      <c r="L7" s="594"/>
      <c r="M7" s="594"/>
      <c r="N7" s="594"/>
      <c r="O7" s="30"/>
      <c r="P7" s="594"/>
      <c r="Q7" s="594"/>
      <c r="R7" s="594"/>
      <c r="S7" s="594"/>
      <c r="T7" s="594"/>
      <c r="U7" s="9"/>
      <c r="V7" s="9"/>
      <c r="W7" s="9"/>
      <c r="X7" s="9"/>
    </row>
    <row r="8" spans="1:27" ht="15.75" hidden="1" thickBot="1">
      <c r="A8" s="11"/>
      <c r="D8" s="901"/>
      <c r="E8" s="901"/>
      <c r="F8" s="13"/>
      <c r="G8" s="13"/>
      <c r="H8" s="924"/>
      <c r="I8" s="13"/>
      <c r="J8" s="13"/>
      <c r="K8" s="901"/>
      <c r="L8" s="13"/>
      <c r="M8" s="13"/>
      <c r="N8" s="13"/>
      <c r="O8" s="13"/>
      <c r="P8" s="12"/>
      <c r="Q8" s="13"/>
      <c r="R8" s="31"/>
      <c r="S8" s="31"/>
      <c r="T8" s="13"/>
      <c r="U8" s="31"/>
      <c r="W8" s="31"/>
      <c r="X8" s="31"/>
    </row>
    <row r="9" spans="1:27" ht="27.75" customHeight="1" thickBot="1">
      <c r="A9" s="1723" t="s">
        <v>1</v>
      </c>
      <c r="B9" s="1751" t="s">
        <v>2</v>
      </c>
      <c r="C9" s="1752" t="s">
        <v>3</v>
      </c>
      <c r="D9" s="1753" t="s">
        <v>192</v>
      </c>
      <c r="E9" s="1750" t="s">
        <v>5</v>
      </c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49" t="s">
        <v>6</v>
      </c>
      <c r="S9" s="1749"/>
      <c r="T9" s="1749"/>
      <c r="U9" s="1749" t="s">
        <v>7</v>
      </c>
      <c r="V9" s="1749"/>
      <c r="W9" s="1750" t="s">
        <v>8</v>
      </c>
      <c r="X9" s="1750"/>
    </row>
    <row r="10" spans="1:27" ht="65.25" customHeight="1" thickTop="1" thickBot="1">
      <c r="A10" s="1723"/>
      <c r="B10" s="1751"/>
      <c r="C10" s="1752"/>
      <c r="D10" s="1753"/>
      <c r="E10" s="1749" t="s">
        <v>9</v>
      </c>
      <c r="F10" s="1749"/>
      <c r="G10" s="1749"/>
      <c r="H10" s="1749" t="s">
        <v>10</v>
      </c>
      <c r="I10" s="1749"/>
      <c r="J10" s="1749"/>
      <c r="K10" s="1749" t="s">
        <v>11</v>
      </c>
      <c r="L10" s="1749"/>
      <c r="M10" s="1749"/>
      <c r="N10" s="1749" t="s">
        <v>12</v>
      </c>
      <c r="O10" s="1749"/>
      <c r="P10" s="1749" t="s">
        <v>13</v>
      </c>
      <c r="Q10" s="1749"/>
      <c r="R10" s="1749"/>
      <c r="S10" s="1749"/>
      <c r="T10" s="1749"/>
      <c r="U10" s="1749"/>
      <c r="V10" s="1749"/>
      <c r="W10" s="1750"/>
      <c r="X10" s="1750"/>
    </row>
    <row r="11" spans="1:27" ht="13.5" customHeight="1" thickTop="1" thickBot="1">
      <c r="A11" s="1723"/>
      <c r="B11" s="1751"/>
      <c r="C11" s="1752"/>
      <c r="D11" s="1753"/>
      <c r="E11" s="902" t="s">
        <v>14</v>
      </c>
      <c r="F11" s="33" t="s">
        <v>15</v>
      </c>
      <c r="G11" s="33" t="s">
        <v>16</v>
      </c>
      <c r="H11" s="925" t="s">
        <v>14</v>
      </c>
      <c r="I11" s="35" t="s">
        <v>15</v>
      </c>
      <c r="J11" s="35" t="s">
        <v>16</v>
      </c>
      <c r="K11" s="902" t="s">
        <v>14</v>
      </c>
      <c r="L11" s="35" t="s">
        <v>15</v>
      </c>
      <c r="M11" s="35" t="s">
        <v>16</v>
      </c>
      <c r="N11" s="32" t="s">
        <v>4</v>
      </c>
      <c r="O11" s="33" t="s">
        <v>16</v>
      </c>
      <c r="P11" s="32" t="s">
        <v>4</v>
      </c>
      <c r="Q11" s="36" t="s">
        <v>17</v>
      </c>
      <c r="R11" s="32" t="s">
        <v>4</v>
      </c>
      <c r="S11" s="33" t="s">
        <v>15</v>
      </c>
      <c r="T11" s="33" t="s">
        <v>16</v>
      </c>
      <c r="U11" s="32" t="s">
        <v>4</v>
      </c>
      <c r="V11" s="37" t="s">
        <v>18</v>
      </c>
      <c r="W11" s="32" t="s">
        <v>4</v>
      </c>
      <c r="X11" s="37" t="s">
        <v>18</v>
      </c>
    </row>
    <row r="12" spans="1:27" ht="21" customHeight="1" thickTop="1" thickBot="1">
      <c r="A12" s="38" t="s">
        <v>19</v>
      </c>
      <c r="B12" s="39" t="s">
        <v>20</v>
      </c>
      <c r="C12" s="40" t="s">
        <v>21</v>
      </c>
      <c r="D12" s="903">
        <f>D15+D22+D33+D35+D40+D44+D52+D54</f>
        <v>966.55899999999997</v>
      </c>
      <c r="E12" s="903">
        <f>E15+E22+E33+E35+E38+E40+E42+E44+E46+E48+E50+E52+E54+E56+E58+E60+E62+E64+E66+E68+E70</f>
        <v>0</v>
      </c>
      <c r="F12" s="41">
        <f>F15+F22+F33+F35+F38+F40+F42+F44+F46+F48+F50+F52+F54+F56+F58+F60+F62+F64+F66+F68+F70</f>
        <v>0</v>
      </c>
      <c r="G12" s="41">
        <f>G15+G22+G33+G35+G38+G40+G42+G44+G46+G48+G50+G52+G54+G56+G58+G60+G62+G64+G66+G68+G70</f>
        <v>0</v>
      </c>
      <c r="H12" s="903">
        <f>H15+H22+H33+H35+H40+H44+H52+H54</f>
        <v>911.92399999999998</v>
      </c>
      <c r="I12" s="41">
        <f>I15+I22+I33+I35+I40+I44</f>
        <v>782.84699999999998</v>
      </c>
      <c r="J12" s="41">
        <f>J15+J22+J33+J35+J38+J40+J42+J44+J46+J48+J50+J52+J54+J56+J58+J60+J62+J64+J66+J68+J70</f>
        <v>129.077</v>
      </c>
      <c r="K12" s="903">
        <f>K15+K33</f>
        <v>54.634999999999998</v>
      </c>
      <c r="L12" s="41">
        <f>L15+L33</f>
        <v>54.634999999999998</v>
      </c>
      <c r="M12" s="41"/>
      <c r="N12" s="42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</row>
    <row r="13" spans="1:27" ht="20.25" customHeight="1" thickBot="1">
      <c r="A13" s="1718">
        <v>1</v>
      </c>
      <c r="B13" s="535" t="s">
        <v>22</v>
      </c>
      <c r="C13" s="517" t="s">
        <v>23</v>
      </c>
      <c r="D13" s="903">
        <f t="shared" ref="D13:D70" si="0">H13+K13</f>
        <v>11</v>
      </c>
      <c r="E13" s="904">
        <f>F13+G13</f>
        <v>0</v>
      </c>
      <c r="F13" s="536"/>
      <c r="G13" s="537"/>
      <c r="H13" s="926">
        <f>I13+J13</f>
        <v>7</v>
      </c>
      <c r="I13" s="430">
        <v>7</v>
      </c>
      <c r="J13" s="430"/>
      <c r="K13" s="932">
        <f t="shared" ref="K13:K19" si="1">L13</f>
        <v>4</v>
      </c>
      <c r="L13" s="430">
        <v>4</v>
      </c>
      <c r="M13" s="430"/>
      <c r="N13" s="538"/>
      <c r="O13" s="536"/>
      <c r="P13" s="536"/>
      <c r="Q13" s="536"/>
      <c r="R13" s="536"/>
      <c r="S13" s="536"/>
      <c r="T13" s="536"/>
      <c r="U13" s="536"/>
      <c r="V13" s="536"/>
      <c r="W13" s="536"/>
      <c r="X13" s="536"/>
    </row>
    <row r="14" spans="1:27" ht="16.5" thickBot="1">
      <c r="A14" s="1718"/>
      <c r="B14" s="539"/>
      <c r="C14" s="518" t="s">
        <v>24</v>
      </c>
      <c r="D14" s="903">
        <f>D18+D16</f>
        <v>7.8000000000000014E-2</v>
      </c>
      <c r="E14" s="904">
        <f t="shared" ref="E14:E77" si="2">F14+G14</f>
        <v>0</v>
      </c>
      <c r="F14" s="85">
        <f>F16+F18+F20</f>
        <v>0</v>
      </c>
      <c r="G14" s="85">
        <f>G16+G18+G20</f>
        <v>0</v>
      </c>
      <c r="H14" s="926">
        <f t="shared" ref="H14:H19" si="3">I14</f>
        <v>3.7999999999999999E-2</v>
      </c>
      <c r="I14" s="434">
        <v>3.7999999999999999E-2</v>
      </c>
      <c r="J14" s="434"/>
      <c r="K14" s="932">
        <f t="shared" si="1"/>
        <v>3.3000000000000002E-2</v>
      </c>
      <c r="L14" s="434">
        <v>3.3000000000000002E-2</v>
      </c>
      <c r="M14" s="434"/>
      <c r="N14" s="540">
        <f t="shared" ref="N14:X15" si="4">N16+N18</f>
        <v>0</v>
      </c>
      <c r="O14" s="85">
        <f t="shared" si="4"/>
        <v>0</v>
      </c>
      <c r="P14" s="85">
        <f t="shared" si="4"/>
        <v>0</v>
      </c>
      <c r="Q14" s="85">
        <f t="shared" si="4"/>
        <v>0</v>
      </c>
      <c r="R14" s="85">
        <f t="shared" si="4"/>
        <v>0</v>
      </c>
      <c r="S14" s="85">
        <f t="shared" si="4"/>
        <v>0</v>
      </c>
      <c r="T14" s="85">
        <f t="shared" si="4"/>
        <v>0</v>
      </c>
      <c r="U14" s="85">
        <f t="shared" si="4"/>
        <v>0</v>
      </c>
      <c r="V14" s="85">
        <f t="shared" si="4"/>
        <v>0</v>
      </c>
      <c r="W14" s="85">
        <f t="shared" si="4"/>
        <v>0</v>
      </c>
      <c r="X14" s="85">
        <f t="shared" si="4"/>
        <v>0</v>
      </c>
      <c r="Y14" s="9"/>
      <c r="Z14" s="9"/>
      <c r="AA14" s="9"/>
    </row>
    <row r="15" spans="1:27" ht="16.5" thickBot="1">
      <c r="A15" s="1718"/>
      <c r="B15" s="541" t="s">
        <v>25</v>
      </c>
      <c r="C15" s="519" t="s">
        <v>21</v>
      </c>
      <c r="D15" s="903">
        <f>K15+H15</f>
        <v>53.988</v>
      </c>
      <c r="E15" s="904">
        <f t="shared" si="2"/>
        <v>0</v>
      </c>
      <c r="F15" s="94">
        <f>F17+F19</f>
        <v>0</v>
      </c>
      <c r="G15" s="542">
        <f>G17+G19</f>
        <v>0</v>
      </c>
      <c r="H15" s="926">
        <f t="shared" si="3"/>
        <v>36.055</v>
      </c>
      <c r="I15" s="434">
        <v>36.055</v>
      </c>
      <c r="J15" s="434"/>
      <c r="K15" s="932">
        <f t="shared" si="1"/>
        <v>17.933</v>
      </c>
      <c r="L15" s="434">
        <f>L19+L17</f>
        <v>17.933</v>
      </c>
      <c r="M15" s="434"/>
      <c r="N15" s="543">
        <f t="shared" si="4"/>
        <v>0</v>
      </c>
      <c r="O15" s="94">
        <f t="shared" si="4"/>
        <v>0</v>
      </c>
      <c r="P15" s="94">
        <f t="shared" si="4"/>
        <v>0</v>
      </c>
      <c r="Q15" s="94">
        <f t="shared" si="4"/>
        <v>0</v>
      </c>
      <c r="R15" s="94">
        <f t="shared" si="4"/>
        <v>0</v>
      </c>
      <c r="S15" s="94">
        <f t="shared" si="4"/>
        <v>0</v>
      </c>
      <c r="T15" s="94">
        <f t="shared" si="4"/>
        <v>0</v>
      </c>
      <c r="U15" s="94">
        <f t="shared" si="4"/>
        <v>0</v>
      </c>
      <c r="V15" s="94">
        <f t="shared" si="4"/>
        <v>0</v>
      </c>
      <c r="W15" s="94">
        <f t="shared" si="4"/>
        <v>0</v>
      </c>
      <c r="X15" s="94">
        <f t="shared" si="4"/>
        <v>0</v>
      </c>
      <c r="Y15" s="9"/>
      <c r="Z15" s="9"/>
      <c r="AA15" s="9"/>
    </row>
    <row r="16" spans="1:27" ht="16.5" thickBot="1">
      <c r="A16" s="544" t="s">
        <v>26</v>
      </c>
      <c r="B16" s="545" t="s">
        <v>27</v>
      </c>
      <c r="C16" s="519" t="s">
        <v>24</v>
      </c>
      <c r="D16" s="903">
        <f>K16+H16</f>
        <v>8.0000000000000002E-3</v>
      </c>
      <c r="E16" s="904">
        <f t="shared" si="2"/>
        <v>0</v>
      </c>
      <c r="F16" s="95"/>
      <c r="G16" s="96"/>
      <c r="H16" s="927">
        <f t="shared" si="3"/>
        <v>8.0000000000000002E-3</v>
      </c>
      <c r="I16" s="546">
        <f>0.008</f>
        <v>8.0000000000000002E-3</v>
      </c>
      <c r="J16" s="421"/>
      <c r="K16" s="932">
        <f t="shared" si="1"/>
        <v>0</v>
      </c>
      <c r="L16" s="421"/>
      <c r="M16" s="421"/>
      <c r="N16" s="543">
        <f t="shared" ref="N16:N31" si="5">O16</f>
        <v>0</v>
      </c>
      <c r="O16" s="547"/>
      <c r="P16" s="542">
        <f t="shared" ref="P16:P70" si="6">Q16</f>
        <v>0</v>
      </c>
      <c r="Q16" s="90"/>
      <c r="R16" s="97">
        <f t="shared" ref="R16:R70" si="7">S16+T16</f>
        <v>0</v>
      </c>
      <c r="S16" s="90"/>
      <c r="T16" s="90"/>
      <c r="U16" s="97">
        <f t="shared" ref="U16:U70" si="8">V16</f>
        <v>0</v>
      </c>
      <c r="V16" s="90"/>
      <c r="W16" s="97">
        <f t="shared" ref="W16:W38" si="9">X16</f>
        <v>0</v>
      </c>
      <c r="X16" s="90"/>
      <c r="Y16" s="9"/>
      <c r="Z16" s="9"/>
      <c r="AA16" s="9"/>
    </row>
    <row r="17" spans="1:27" ht="16.5" thickBot="1">
      <c r="A17" s="548"/>
      <c r="B17" s="545"/>
      <c r="C17" s="519" t="s">
        <v>21</v>
      </c>
      <c r="D17" s="903">
        <f>K17+H17</f>
        <v>14.922000000000001</v>
      </c>
      <c r="E17" s="904">
        <f t="shared" si="2"/>
        <v>0</v>
      </c>
      <c r="F17" s="95"/>
      <c r="G17" s="96"/>
      <c r="H17" s="926">
        <f t="shared" si="3"/>
        <v>14.922000000000001</v>
      </c>
      <c r="I17" s="421">
        <v>14.922000000000001</v>
      </c>
      <c r="J17" s="421"/>
      <c r="K17" s="932">
        <f t="shared" si="1"/>
        <v>0</v>
      </c>
      <c r="L17" s="421"/>
      <c r="M17" s="421"/>
      <c r="N17" s="97">
        <f t="shared" si="5"/>
        <v>0</v>
      </c>
      <c r="O17" s="89"/>
      <c r="P17" s="97">
        <f t="shared" si="6"/>
        <v>0</v>
      </c>
      <c r="Q17" s="90"/>
      <c r="R17" s="97">
        <f t="shared" si="7"/>
        <v>0</v>
      </c>
      <c r="S17" s="90"/>
      <c r="T17" s="90"/>
      <c r="U17" s="97">
        <f t="shared" si="8"/>
        <v>0</v>
      </c>
      <c r="V17" s="90"/>
      <c r="W17" s="97">
        <f t="shared" si="9"/>
        <v>0</v>
      </c>
      <c r="X17" s="90"/>
      <c r="Y17" s="9"/>
      <c r="Z17" s="9"/>
      <c r="AA17" s="9"/>
    </row>
    <row r="18" spans="1:27" ht="16.5" thickBot="1">
      <c r="A18" s="548" t="s">
        <v>28</v>
      </c>
      <c r="B18" s="545" t="s">
        <v>29</v>
      </c>
      <c r="C18" s="519" t="s">
        <v>24</v>
      </c>
      <c r="D18" s="903">
        <f>K18+H18</f>
        <v>7.0000000000000007E-2</v>
      </c>
      <c r="E18" s="904">
        <f t="shared" si="2"/>
        <v>0</v>
      </c>
      <c r="F18" s="95"/>
      <c r="G18" s="96"/>
      <c r="H18" s="926">
        <f t="shared" si="3"/>
        <v>7.0000000000000007E-2</v>
      </c>
      <c r="I18" s="549">
        <f>0.07</f>
        <v>7.0000000000000007E-2</v>
      </c>
      <c r="J18" s="421"/>
      <c r="K18" s="932">
        <f t="shared" si="1"/>
        <v>0</v>
      </c>
      <c r="L18" s="421"/>
      <c r="M18" s="421"/>
      <c r="N18" s="97">
        <f t="shared" si="5"/>
        <v>0</v>
      </c>
      <c r="O18" s="89"/>
      <c r="P18" s="97">
        <f t="shared" si="6"/>
        <v>0</v>
      </c>
      <c r="Q18" s="90"/>
      <c r="R18" s="97">
        <f t="shared" si="7"/>
        <v>0</v>
      </c>
      <c r="S18" s="90"/>
      <c r="T18" s="90"/>
      <c r="U18" s="97">
        <f t="shared" si="8"/>
        <v>0</v>
      </c>
      <c r="V18" s="90"/>
      <c r="W18" s="97">
        <f t="shared" si="9"/>
        <v>0</v>
      </c>
      <c r="X18" s="90"/>
      <c r="Y18" s="9"/>
      <c r="Z18" s="9"/>
      <c r="AA18" s="9"/>
    </row>
    <row r="19" spans="1:27" ht="16.5" thickBot="1">
      <c r="A19" s="550"/>
      <c r="B19" s="551"/>
      <c r="C19" s="520" t="s">
        <v>21</v>
      </c>
      <c r="D19" s="903">
        <f>K19+H19</f>
        <v>39.066000000000003</v>
      </c>
      <c r="E19" s="904">
        <f t="shared" si="2"/>
        <v>0</v>
      </c>
      <c r="F19" s="553"/>
      <c r="G19" s="554"/>
      <c r="H19" s="926">
        <f t="shared" si="3"/>
        <v>21.132999999999999</v>
      </c>
      <c r="I19" s="421">
        <v>21.132999999999999</v>
      </c>
      <c r="J19" s="421"/>
      <c r="K19" s="932">
        <f t="shared" si="1"/>
        <v>17.933</v>
      </c>
      <c r="L19" s="421">
        <f>17.933</f>
        <v>17.933</v>
      </c>
      <c r="M19" s="421"/>
      <c r="N19" s="555">
        <f t="shared" si="5"/>
        <v>0</v>
      </c>
      <c r="O19" s="89"/>
      <c r="P19" s="555">
        <f t="shared" si="6"/>
        <v>0</v>
      </c>
      <c r="Q19" s="90"/>
      <c r="R19" s="555">
        <f t="shared" si="7"/>
        <v>0</v>
      </c>
      <c r="S19" s="90"/>
      <c r="T19" s="90"/>
      <c r="U19" s="555">
        <f t="shared" si="8"/>
        <v>0</v>
      </c>
      <c r="V19" s="90"/>
      <c r="W19" s="555">
        <f t="shared" si="9"/>
        <v>0</v>
      </c>
      <c r="X19" s="90"/>
      <c r="Y19" s="9"/>
      <c r="Z19" s="9"/>
      <c r="AA19" s="9"/>
    </row>
    <row r="20" spans="1:27" ht="16.5" thickBot="1">
      <c r="A20" s="76" t="s">
        <v>30</v>
      </c>
      <c r="B20" s="77" t="s">
        <v>31</v>
      </c>
      <c r="C20" s="521" t="s">
        <v>21</v>
      </c>
      <c r="D20" s="903">
        <f t="shared" si="0"/>
        <v>0</v>
      </c>
      <c r="E20" s="904">
        <f t="shared" si="2"/>
        <v>0</v>
      </c>
      <c r="F20" s="79">
        <v>0</v>
      </c>
      <c r="G20" s="80">
        <v>0</v>
      </c>
      <c r="H20" s="926"/>
      <c r="I20" s="20"/>
      <c r="J20" s="20"/>
      <c r="K20" s="932"/>
      <c r="L20" s="20"/>
      <c r="M20" s="20"/>
      <c r="N20" s="81">
        <f t="shared" si="5"/>
        <v>0</v>
      </c>
      <c r="O20" s="68"/>
      <c r="P20" s="81">
        <f t="shared" si="6"/>
        <v>0</v>
      </c>
      <c r="Q20" s="65"/>
      <c r="R20" s="81">
        <f t="shared" si="7"/>
        <v>0</v>
      </c>
      <c r="S20" s="65"/>
      <c r="T20" s="65"/>
      <c r="U20" s="81">
        <f t="shared" si="8"/>
        <v>0</v>
      </c>
      <c r="V20" s="65"/>
      <c r="W20" s="81">
        <f t="shared" si="9"/>
        <v>0</v>
      </c>
      <c r="X20" s="65"/>
      <c r="Y20" s="9"/>
      <c r="Z20" s="9"/>
      <c r="AA20" s="9"/>
    </row>
    <row r="21" spans="1:27" s="15" customFormat="1" thickBot="1">
      <c r="A21" s="82">
        <v>2</v>
      </c>
      <c r="B21" s="83" t="s">
        <v>32</v>
      </c>
      <c r="C21" s="84" t="s">
        <v>33</v>
      </c>
      <c r="D21" s="41">
        <f>H21+K21</f>
        <v>3</v>
      </c>
      <c r="E21" s="536">
        <f t="shared" si="2"/>
        <v>0</v>
      </c>
      <c r="F21" s="86"/>
      <c r="G21" s="87"/>
      <c r="H21" s="48">
        <f t="shared" ref="H21:H26" si="10">I21</f>
        <v>3</v>
      </c>
      <c r="I21" s="86">
        <v>3</v>
      </c>
      <c r="J21" s="86"/>
      <c r="K21" s="41"/>
      <c r="L21" s="86"/>
      <c r="M21" s="86"/>
      <c r="N21" s="88">
        <f t="shared" si="5"/>
        <v>0</v>
      </c>
      <c r="O21" s="89"/>
      <c r="P21" s="88">
        <f t="shared" si="6"/>
        <v>0</v>
      </c>
      <c r="Q21" s="90"/>
      <c r="R21" s="88">
        <f t="shared" si="7"/>
        <v>0</v>
      </c>
      <c r="S21" s="90"/>
      <c r="T21" s="90"/>
      <c r="U21" s="88">
        <f t="shared" si="8"/>
        <v>0</v>
      </c>
      <c r="V21" s="90"/>
      <c r="W21" s="88">
        <f t="shared" si="9"/>
        <v>0</v>
      </c>
      <c r="X21" s="90"/>
    </row>
    <row r="22" spans="1:27" s="15" customFormat="1" thickBot="1">
      <c r="A22" s="91"/>
      <c r="B22" s="92" t="s">
        <v>34</v>
      </c>
      <c r="C22" s="93" t="s">
        <v>21</v>
      </c>
      <c r="D22" s="41">
        <f t="shared" si="0"/>
        <v>684.22500000000002</v>
      </c>
      <c r="E22" s="536">
        <f t="shared" si="2"/>
        <v>0</v>
      </c>
      <c r="F22" s="95"/>
      <c r="G22" s="96"/>
      <c r="H22" s="41">
        <f t="shared" si="10"/>
        <v>684.22500000000002</v>
      </c>
      <c r="I22" s="95">
        <f>I24+I26+I31</f>
        <v>684.22500000000002</v>
      </c>
      <c r="J22" s="95"/>
      <c r="K22" s="41"/>
      <c r="L22" s="95"/>
      <c r="M22" s="95"/>
      <c r="N22" s="97">
        <f t="shared" si="5"/>
        <v>0</v>
      </c>
      <c r="O22" s="89"/>
      <c r="P22" s="97">
        <f t="shared" si="6"/>
        <v>0</v>
      </c>
      <c r="Q22" s="90"/>
      <c r="R22" s="97">
        <f t="shared" si="7"/>
        <v>0</v>
      </c>
      <c r="S22" s="90"/>
      <c r="T22" s="90"/>
      <c r="U22" s="97">
        <f t="shared" si="8"/>
        <v>0</v>
      </c>
      <c r="V22" s="90"/>
      <c r="W22" s="97">
        <f t="shared" si="9"/>
        <v>0</v>
      </c>
      <c r="X22" s="90"/>
    </row>
    <row r="23" spans="1:27" thickBot="1">
      <c r="A23" s="510" t="s">
        <v>35</v>
      </c>
      <c r="B23" s="504" t="s">
        <v>36</v>
      </c>
      <c r="C23" s="84" t="s">
        <v>37</v>
      </c>
      <c r="D23" s="903">
        <f t="shared" si="0"/>
        <v>85.623999999999995</v>
      </c>
      <c r="E23" s="904">
        <f t="shared" si="2"/>
        <v>0</v>
      </c>
      <c r="F23" s="62"/>
      <c r="G23" s="63"/>
      <c r="H23" s="903">
        <f t="shared" si="10"/>
        <v>85.623999999999995</v>
      </c>
      <c r="I23" s="62">
        <v>85.623999999999995</v>
      </c>
      <c r="J23" s="62"/>
      <c r="K23" s="903"/>
      <c r="L23" s="62"/>
      <c r="M23" s="62"/>
      <c r="N23" s="66">
        <f t="shared" si="5"/>
        <v>0</v>
      </c>
      <c r="O23" s="68"/>
      <c r="P23" s="66">
        <f t="shared" si="6"/>
        <v>0</v>
      </c>
      <c r="Q23" s="65"/>
      <c r="R23" s="66">
        <f t="shared" si="7"/>
        <v>0</v>
      </c>
      <c r="S23" s="65"/>
      <c r="T23" s="65"/>
      <c r="U23" s="66">
        <f t="shared" si="8"/>
        <v>0</v>
      </c>
      <c r="V23" s="65"/>
      <c r="W23" s="66">
        <f t="shared" si="9"/>
        <v>0</v>
      </c>
      <c r="X23" s="65"/>
      <c r="Y23" s="9"/>
      <c r="Z23" s="9"/>
      <c r="AA23" s="9"/>
    </row>
    <row r="24" spans="1:27" thickBot="1">
      <c r="A24" s="510"/>
      <c r="B24" s="504"/>
      <c r="C24" s="84" t="s">
        <v>21</v>
      </c>
      <c r="D24" s="903">
        <f t="shared" si="0"/>
        <v>402.75200000000001</v>
      </c>
      <c r="E24" s="904">
        <f t="shared" si="2"/>
        <v>0</v>
      </c>
      <c r="F24" s="62"/>
      <c r="G24" s="63"/>
      <c r="H24" s="903">
        <f t="shared" si="10"/>
        <v>402.75200000000001</v>
      </c>
      <c r="I24" s="62">
        <v>402.75200000000001</v>
      </c>
      <c r="J24" s="62"/>
      <c r="K24" s="903"/>
      <c r="L24" s="62"/>
      <c r="M24" s="62"/>
      <c r="N24" s="66">
        <f t="shared" si="5"/>
        <v>0</v>
      </c>
      <c r="O24" s="68"/>
      <c r="P24" s="66">
        <f t="shared" si="6"/>
        <v>0</v>
      </c>
      <c r="Q24" s="65"/>
      <c r="R24" s="66">
        <f t="shared" si="7"/>
        <v>0</v>
      </c>
      <c r="S24" s="65"/>
      <c r="T24" s="65"/>
      <c r="U24" s="66">
        <f t="shared" si="8"/>
        <v>0</v>
      </c>
      <c r="V24" s="65"/>
      <c r="W24" s="66">
        <f t="shared" si="9"/>
        <v>0</v>
      </c>
      <c r="X24" s="65"/>
      <c r="Y24" s="9"/>
      <c r="Z24" s="9"/>
      <c r="AA24" s="9"/>
    </row>
    <row r="25" spans="1:27" thickBot="1">
      <c r="A25" s="511" t="s">
        <v>38</v>
      </c>
      <c r="B25" s="512" t="s">
        <v>39</v>
      </c>
      <c r="C25" s="522" t="s">
        <v>40</v>
      </c>
      <c r="D25" s="903">
        <f t="shared" si="0"/>
        <v>280.39999999999998</v>
      </c>
      <c r="E25" s="904">
        <f t="shared" si="2"/>
        <v>0</v>
      </c>
      <c r="F25" s="62"/>
      <c r="G25" s="63"/>
      <c r="H25" s="903">
        <f t="shared" si="10"/>
        <v>280.39999999999998</v>
      </c>
      <c r="I25" s="62">
        <v>280.39999999999998</v>
      </c>
      <c r="J25" s="62"/>
      <c r="K25" s="903"/>
      <c r="L25" s="62"/>
      <c r="M25" s="62"/>
      <c r="N25" s="66">
        <f t="shared" si="5"/>
        <v>0</v>
      </c>
      <c r="O25" s="68"/>
      <c r="P25" s="66">
        <f t="shared" si="6"/>
        <v>0</v>
      </c>
      <c r="Q25" s="65"/>
      <c r="R25" s="66">
        <f t="shared" si="7"/>
        <v>0</v>
      </c>
      <c r="S25" s="65"/>
      <c r="T25" s="65"/>
      <c r="U25" s="66">
        <f t="shared" si="8"/>
        <v>0</v>
      </c>
      <c r="V25" s="65"/>
      <c r="W25" s="66">
        <f t="shared" si="9"/>
        <v>0</v>
      </c>
      <c r="X25" s="65"/>
      <c r="Y25" s="9"/>
      <c r="Z25" s="9"/>
      <c r="AA25" s="9"/>
    </row>
    <row r="26" spans="1:27" ht="16.5" thickBot="1">
      <c r="A26" s="508"/>
      <c r="B26" s="513" t="s">
        <v>41</v>
      </c>
      <c r="C26" s="93" t="s">
        <v>21</v>
      </c>
      <c r="D26" s="903">
        <f t="shared" si="0"/>
        <v>264.416</v>
      </c>
      <c r="E26" s="904">
        <f t="shared" si="2"/>
        <v>0</v>
      </c>
      <c r="F26" s="62"/>
      <c r="G26" s="63"/>
      <c r="H26" s="903">
        <f t="shared" si="10"/>
        <v>264.416</v>
      </c>
      <c r="I26" s="62">
        <v>264.416</v>
      </c>
      <c r="J26" s="62"/>
      <c r="K26" s="903"/>
      <c r="L26" s="62"/>
      <c r="M26" s="62"/>
      <c r="N26" s="66">
        <f t="shared" si="5"/>
        <v>0</v>
      </c>
      <c r="O26" s="68"/>
      <c r="P26" s="66">
        <f t="shared" si="6"/>
        <v>0</v>
      </c>
      <c r="Q26" s="65"/>
      <c r="R26" s="66">
        <f t="shared" si="7"/>
        <v>0</v>
      </c>
      <c r="S26" s="65"/>
      <c r="T26" s="65"/>
      <c r="U26" s="66">
        <f t="shared" si="8"/>
        <v>0</v>
      </c>
      <c r="V26" s="65"/>
      <c r="W26" s="66">
        <f t="shared" si="9"/>
        <v>0</v>
      </c>
      <c r="X26" s="65"/>
      <c r="Y26" s="9"/>
      <c r="Z26" s="9"/>
      <c r="AA26" s="9"/>
    </row>
    <row r="27" spans="1:27" ht="16.5" thickBot="1">
      <c r="A27" s="511" t="s">
        <v>42</v>
      </c>
      <c r="B27" s="514" t="s">
        <v>43</v>
      </c>
      <c r="C27" s="522" t="s">
        <v>40</v>
      </c>
      <c r="D27" s="903">
        <f t="shared" si="0"/>
        <v>0</v>
      </c>
      <c r="E27" s="904">
        <f t="shared" si="2"/>
        <v>0</v>
      </c>
      <c r="F27" s="62"/>
      <c r="G27" s="63"/>
      <c r="H27" s="903"/>
      <c r="I27" s="62"/>
      <c r="J27" s="62"/>
      <c r="K27" s="903"/>
      <c r="L27" s="62"/>
      <c r="M27" s="62"/>
      <c r="N27" s="66">
        <f t="shared" si="5"/>
        <v>0</v>
      </c>
      <c r="O27" s="68"/>
      <c r="P27" s="66">
        <f t="shared" si="6"/>
        <v>0</v>
      </c>
      <c r="Q27" s="65"/>
      <c r="R27" s="66">
        <f t="shared" si="7"/>
        <v>0</v>
      </c>
      <c r="S27" s="65"/>
      <c r="T27" s="65"/>
      <c r="U27" s="66">
        <f t="shared" si="8"/>
        <v>0</v>
      </c>
      <c r="V27" s="65"/>
      <c r="W27" s="66">
        <f t="shared" si="9"/>
        <v>0</v>
      </c>
      <c r="X27" s="65"/>
      <c r="Y27" s="9"/>
      <c r="Z27" s="9"/>
      <c r="AA27" s="9"/>
    </row>
    <row r="28" spans="1:27" ht="16.5" thickBot="1">
      <c r="A28" s="508"/>
      <c r="B28" s="513" t="s">
        <v>44</v>
      </c>
      <c r="C28" s="93" t="s">
        <v>21</v>
      </c>
      <c r="D28" s="903">
        <f t="shared" si="0"/>
        <v>0</v>
      </c>
      <c r="E28" s="904">
        <f t="shared" si="2"/>
        <v>0</v>
      </c>
      <c r="F28" s="62"/>
      <c r="G28" s="63"/>
      <c r="H28" s="903"/>
      <c r="I28" s="62"/>
      <c r="J28" s="62"/>
      <c r="K28" s="903"/>
      <c r="L28" s="62"/>
      <c r="M28" s="62"/>
      <c r="N28" s="66">
        <f t="shared" si="5"/>
        <v>0</v>
      </c>
      <c r="O28" s="68"/>
      <c r="P28" s="66">
        <f t="shared" si="6"/>
        <v>0</v>
      </c>
      <c r="Q28" s="65"/>
      <c r="R28" s="66">
        <f t="shared" si="7"/>
        <v>0</v>
      </c>
      <c r="S28" s="65"/>
      <c r="T28" s="65"/>
      <c r="U28" s="66">
        <f t="shared" si="8"/>
        <v>0</v>
      </c>
      <c r="V28" s="65"/>
      <c r="W28" s="66">
        <f t="shared" si="9"/>
        <v>0</v>
      </c>
      <c r="X28" s="65"/>
      <c r="Y28" s="9"/>
      <c r="Z28" s="9"/>
      <c r="AA28" s="9"/>
    </row>
    <row r="29" spans="1:27" ht="16.5" thickBot="1">
      <c r="A29" s="511" t="s">
        <v>45</v>
      </c>
      <c r="B29" s="514" t="s">
        <v>46</v>
      </c>
      <c r="C29" s="522" t="s">
        <v>47</v>
      </c>
      <c r="D29" s="903">
        <f t="shared" si="0"/>
        <v>0</v>
      </c>
      <c r="E29" s="904">
        <f t="shared" si="2"/>
        <v>0</v>
      </c>
      <c r="F29" s="62"/>
      <c r="G29" s="63"/>
      <c r="H29" s="903"/>
      <c r="I29" s="62"/>
      <c r="J29" s="62"/>
      <c r="K29" s="903"/>
      <c r="L29" s="62"/>
      <c r="M29" s="62"/>
      <c r="N29" s="66">
        <f t="shared" si="5"/>
        <v>0</v>
      </c>
      <c r="O29" s="68"/>
      <c r="P29" s="66">
        <f t="shared" si="6"/>
        <v>0</v>
      </c>
      <c r="Q29" s="65"/>
      <c r="R29" s="66">
        <f t="shared" si="7"/>
        <v>0</v>
      </c>
      <c r="S29" s="65"/>
      <c r="T29" s="65"/>
      <c r="U29" s="66">
        <f t="shared" si="8"/>
        <v>0</v>
      </c>
      <c r="V29" s="65"/>
      <c r="W29" s="66">
        <f t="shared" si="9"/>
        <v>0</v>
      </c>
      <c r="X29" s="65"/>
      <c r="Y29" s="9"/>
      <c r="Z29" s="9"/>
      <c r="AA29" s="9"/>
    </row>
    <row r="30" spans="1:27" ht="16.5" thickBot="1">
      <c r="A30" s="508"/>
      <c r="B30" s="513"/>
      <c r="C30" s="84" t="s">
        <v>21</v>
      </c>
      <c r="D30" s="903">
        <f t="shared" si="0"/>
        <v>0</v>
      </c>
      <c r="E30" s="904">
        <f t="shared" si="2"/>
        <v>0</v>
      </c>
      <c r="F30" s="62"/>
      <c r="G30" s="63"/>
      <c r="H30" s="903"/>
      <c r="I30" s="62"/>
      <c r="J30" s="62"/>
      <c r="K30" s="903"/>
      <c r="L30" s="62"/>
      <c r="M30" s="62"/>
      <c r="N30" s="66">
        <f t="shared" si="5"/>
        <v>0</v>
      </c>
      <c r="O30" s="68"/>
      <c r="P30" s="66">
        <f t="shared" si="6"/>
        <v>0</v>
      </c>
      <c r="Q30" s="65"/>
      <c r="R30" s="66">
        <f t="shared" si="7"/>
        <v>0</v>
      </c>
      <c r="S30" s="65"/>
      <c r="T30" s="65"/>
      <c r="U30" s="66">
        <f t="shared" si="8"/>
        <v>0</v>
      </c>
      <c r="V30" s="65"/>
      <c r="W30" s="66">
        <f t="shared" si="9"/>
        <v>0</v>
      </c>
      <c r="X30" s="65"/>
      <c r="Y30" s="9"/>
      <c r="Z30" s="9"/>
      <c r="AA30" s="9"/>
    </row>
    <row r="31" spans="1:27" ht="32.25" thickBot="1">
      <c r="A31" s="508" t="s">
        <v>48</v>
      </c>
      <c r="B31" s="515" t="s">
        <v>49</v>
      </c>
      <c r="C31" s="521" t="s">
        <v>21</v>
      </c>
      <c r="D31" s="903">
        <f>H31</f>
        <v>17.056999999999999</v>
      </c>
      <c r="E31" s="904">
        <f t="shared" si="2"/>
        <v>0</v>
      </c>
      <c r="F31" s="62"/>
      <c r="G31" s="63"/>
      <c r="H31" s="903">
        <f>I31</f>
        <v>17.056999999999999</v>
      </c>
      <c r="I31" s="62">
        <v>17.056999999999999</v>
      </c>
      <c r="J31" s="62"/>
      <c r="K31" s="903"/>
      <c r="L31" s="62"/>
      <c r="M31" s="62"/>
      <c r="N31" s="66">
        <f t="shared" si="5"/>
        <v>0</v>
      </c>
      <c r="O31" s="68"/>
      <c r="P31" s="66">
        <f t="shared" si="6"/>
        <v>0</v>
      </c>
      <c r="Q31" s="65"/>
      <c r="R31" s="66">
        <f t="shared" si="7"/>
        <v>0</v>
      </c>
      <c r="S31" s="65"/>
      <c r="T31" s="65"/>
      <c r="U31" s="66">
        <f t="shared" si="8"/>
        <v>0</v>
      </c>
      <c r="V31" s="65"/>
      <c r="W31" s="66">
        <f t="shared" si="9"/>
        <v>0</v>
      </c>
      <c r="X31" s="65"/>
      <c r="Y31" s="9"/>
      <c r="Z31" s="9"/>
      <c r="AA31" s="9"/>
    </row>
    <row r="32" spans="1:27" ht="16.5" thickBot="1">
      <c r="A32" s="111">
        <v>3</v>
      </c>
      <c r="B32" s="1" t="s">
        <v>50</v>
      </c>
      <c r="C32" s="518" t="s">
        <v>51</v>
      </c>
      <c r="D32" s="903">
        <f>I32+L32</f>
        <v>0.114</v>
      </c>
      <c r="E32" s="904">
        <f t="shared" si="2"/>
        <v>0</v>
      </c>
      <c r="F32" s="62"/>
      <c r="G32" s="63"/>
      <c r="H32" s="903">
        <f>I32</f>
        <v>6.6000000000000003E-2</v>
      </c>
      <c r="I32" s="62">
        <f>0.034+0.032</f>
        <v>6.6000000000000003E-2</v>
      </c>
      <c r="J32" s="62"/>
      <c r="K32" s="903">
        <f>L32</f>
        <v>4.8000000000000001E-2</v>
      </c>
      <c r="L32" s="62">
        <f>0.024+0.024</f>
        <v>4.8000000000000001E-2</v>
      </c>
      <c r="M32" s="62"/>
      <c r="N32" s="66">
        <v>0</v>
      </c>
      <c r="O32" s="68"/>
      <c r="P32" s="66">
        <f t="shared" si="6"/>
        <v>0</v>
      </c>
      <c r="Q32" s="65"/>
      <c r="R32" s="66">
        <f t="shared" si="7"/>
        <v>0</v>
      </c>
      <c r="S32" s="65"/>
      <c r="T32" s="65"/>
      <c r="U32" s="66">
        <f t="shared" si="8"/>
        <v>0</v>
      </c>
      <c r="V32" s="65"/>
      <c r="W32" s="66">
        <f t="shared" si="9"/>
        <v>0</v>
      </c>
      <c r="X32" s="65"/>
      <c r="Y32" s="9"/>
      <c r="Z32" s="9"/>
      <c r="AA32" s="9"/>
    </row>
    <row r="33" spans="1:27" ht="16.5" thickBot="1">
      <c r="A33" s="69"/>
      <c r="B33" s="112" t="s">
        <v>52</v>
      </c>
      <c r="C33" s="520" t="s">
        <v>21</v>
      </c>
      <c r="D33" s="903">
        <f>I33+L33</f>
        <v>87.167000000000002</v>
      </c>
      <c r="E33" s="904">
        <f t="shared" si="2"/>
        <v>0</v>
      </c>
      <c r="F33" s="62"/>
      <c r="G33" s="63"/>
      <c r="H33" s="903">
        <f>I33</f>
        <v>50.465000000000003</v>
      </c>
      <c r="I33" s="62">
        <v>50.465000000000003</v>
      </c>
      <c r="J33" s="62"/>
      <c r="K33" s="903">
        <f>L33</f>
        <v>36.701999999999998</v>
      </c>
      <c r="L33" s="62">
        <v>36.701999999999998</v>
      </c>
      <c r="M33" s="62"/>
      <c r="N33" s="66">
        <v>0</v>
      </c>
      <c r="O33" s="68"/>
      <c r="P33" s="66">
        <f t="shared" si="6"/>
        <v>0</v>
      </c>
      <c r="Q33" s="65"/>
      <c r="R33" s="66">
        <f t="shared" si="7"/>
        <v>0</v>
      </c>
      <c r="S33" s="65"/>
      <c r="T33" s="65"/>
      <c r="U33" s="66">
        <f t="shared" si="8"/>
        <v>0</v>
      </c>
      <c r="V33" s="65"/>
      <c r="W33" s="66">
        <f t="shared" si="9"/>
        <v>0</v>
      </c>
      <c r="X33" s="65"/>
      <c r="Y33" s="9"/>
      <c r="Z33" s="9"/>
      <c r="AA33" s="9"/>
    </row>
    <row r="34" spans="1:27" ht="16.5" thickBot="1">
      <c r="A34" s="113">
        <v>4</v>
      </c>
      <c r="B34" s="114" t="s">
        <v>53</v>
      </c>
      <c r="C34" s="523" t="s">
        <v>24</v>
      </c>
      <c r="D34" s="903">
        <f t="shared" si="0"/>
        <v>1.4E-2</v>
      </c>
      <c r="E34" s="904">
        <f t="shared" si="2"/>
        <v>0</v>
      </c>
      <c r="F34" s="62"/>
      <c r="G34" s="63"/>
      <c r="H34" s="903">
        <f>I34</f>
        <v>1.4E-2</v>
      </c>
      <c r="I34" s="62">
        <v>1.4E-2</v>
      </c>
      <c r="J34" s="62"/>
      <c r="K34" s="903"/>
      <c r="L34" s="62"/>
      <c r="M34" s="62"/>
      <c r="N34" s="59">
        <f t="shared" ref="N34:N70" si="11">O34</f>
        <v>0</v>
      </c>
      <c r="O34" s="116"/>
      <c r="P34" s="57">
        <f t="shared" si="6"/>
        <v>0</v>
      </c>
      <c r="Q34" s="53"/>
      <c r="R34" s="57">
        <f t="shared" si="7"/>
        <v>0</v>
      </c>
      <c r="S34" s="53"/>
      <c r="T34" s="53"/>
      <c r="U34" s="57">
        <f t="shared" si="8"/>
        <v>0</v>
      </c>
      <c r="V34" s="53"/>
      <c r="W34" s="57">
        <f t="shared" si="9"/>
        <v>0</v>
      </c>
      <c r="X34" s="53"/>
      <c r="Y34" s="9"/>
      <c r="Z34" s="9"/>
      <c r="AA34" s="9"/>
    </row>
    <row r="35" spans="1:27" ht="16.5" thickBot="1">
      <c r="A35" s="117"/>
      <c r="B35" s="118"/>
      <c r="C35" s="524" t="s">
        <v>21</v>
      </c>
      <c r="D35" s="903">
        <f t="shared" si="0"/>
        <v>2.371</v>
      </c>
      <c r="E35" s="904">
        <f t="shared" si="2"/>
        <v>0</v>
      </c>
      <c r="F35" s="62"/>
      <c r="G35" s="63"/>
      <c r="H35" s="903">
        <f>I35</f>
        <v>2.371</v>
      </c>
      <c r="I35" s="62">
        <v>2.371</v>
      </c>
      <c r="J35" s="62"/>
      <c r="K35" s="903"/>
      <c r="L35" s="62"/>
      <c r="M35" s="62"/>
      <c r="N35" s="59">
        <f t="shared" si="11"/>
        <v>0</v>
      </c>
      <c r="O35" s="120"/>
      <c r="P35" s="57">
        <f t="shared" si="6"/>
        <v>0</v>
      </c>
      <c r="Q35" s="121"/>
      <c r="R35" s="57">
        <f t="shared" si="7"/>
        <v>0</v>
      </c>
      <c r="S35" s="121"/>
      <c r="T35" s="121"/>
      <c r="U35" s="57">
        <f t="shared" si="8"/>
        <v>0</v>
      </c>
      <c r="V35" s="121"/>
      <c r="W35" s="57">
        <f t="shared" si="9"/>
        <v>0</v>
      </c>
      <c r="X35" s="121"/>
      <c r="Y35" s="9"/>
      <c r="Z35" s="9"/>
      <c r="AA35" s="9"/>
    </row>
    <row r="36" spans="1:27" ht="16.5" thickBot="1">
      <c r="A36" s="113">
        <v>5</v>
      </c>
      <c r="B36" s="114" t="s">
        <v>54</v>
      </c>
      <c r="C36" s="523" t="s">
        <v>24</v>
      </c>
      <c r="D36" s="903">
        <f t="shared" si="0"/>
        <v>0</v>
      </c>
      <c r="E36" s="904">
        <f t="shared" si="2"/>
        <v>0</v>
      </c>
      <c r="F36" s="62"/>
      <c r="G36" s="63"/>
      <c r="H36" s="903"/>
      <c r="I36" s="62"/>
      <c r="J36" s="62"/>
      <c r="K36" s="903"/>
      <c r="L36" s="62"/>
      <c r="M36" s="62"/>
      <c r="N36" s="59">
        <f t="shared" si="11"/>
        <v>0</v>
      </c>
      <c r="O36" s="122"/>
      <c r="P36" s="57">
        <f t="shared" si="6"/>
        <v>0</v>
      </c>
      <c r="Q36" s="123"/>
      <c r="R36" s="57">
        <f t="shared" si="7"/>
        <v>0</v>
      </c>
      <c r="S36" s="123"/>
      <c r="T36" s="123"/>
      <c r="U36" s="57">
        <f t="shared" si="8"/>
        <v>0</v>
      </c>
      <c r="V36" s="123"/>
      <c r="W36" s="57">
        <f t="shared" si="9"/>
        <v>0</v>
      </c>
      <c r="X36" s="123"/>
      <c r="Y36" s="9"/>
      <c r="Z36" s="9"/>
      <c r="AA36" s="9"/>
    </row>
    <row r="37" spans="1:27" ht="16.5" thickBot="1">
      <c r="A37" s="124"/>
      <c r="B37" s="112" t="s">
        <v>55</v>
      </c>
      <c r="C37" s="519" t="s">
        <v>56</v>
      </c>
      <c r="D37" s="903">
        <f t="shared" si="0"/>
        <v>0</v>
      </c>
      <c r="E37" s="904">
        <f t="shared" si="2"/>
        <v>0</v>
      </c>
      <c r="F37" s="62"/>
      <c r="G37" s="63"/>
      <c r="H37" s="903"/>
      <c r="I37" s="62"/>
      <c r="J37" s="62"/>
      <c r="K37" s="903"/>
      <c r="L37" s="62"/>
      <c r="M37" s="62"/>
      <c r="N37" s="59">
        <f t="shared" si="11"/>
        <v>0</v>
      </c>
      <c r="O37" s="116"/>
      <c r="P37" s="57">
        <f t="shared" si="6"/>
        <v>0</v>
      </c>
      <c r="Q37" s="125"/>
      <c r="R37" s="57">
        <f t="shared" si="7"/>
        <v>0</v>
      </c>
      <c r="S37" s="125"/>
      <c r="T37" s="125"/>
      <c r="U37" s="57">
        <f t="shared" si="8"/>
        <v>0</v>
      </c>
      <c r="V37" s="125"/>
      <c r="W37" s="57">
        <f t="shared" si="9"/>
        <v>0</v>
      </c>
      <c r="X37" s="125"/>
      <c r="Y37" s="9"/>
      <c r="Z37" s="9"/>
      <c r="AA37" s="9"/>
    </row>
    <row r="38" spans="1:27" ht="16.5" thickBot="1">
      <c r="A38" s="126"/>
      <c r="B38" s="127"/>
      <c r="C38" s="84" t="s">
        <v>21</v>
      </c>
      <c r="D38" s="903">
        <f t="shared" si="0"/>
        <v>0</v>
      </c>
      <c r="E38" s="904">
        <f t="shared" si="2"/>
        <v>0</v>
      </c>
      <c r="F38" s="73"/>
      <c r="G38" s="74"/>
      <c r="H38" s="903"/>
      <c r="I38" s="62"/>
      <c r="J38" s="62"/>
      <c r="K38" s="903"/>
      <c r="L38" s="62"/>
      <c r="M38" s="62"/>
      <c r="N38" s="129">
        <f t="shared" si="11"/>
        <v>0</v>
      </c>
      <c r="O38" s="130"/>
      <c r="P38" s="72">
        <f t="shared" si="6"/>
        <v>0</v>
      </c>
      <c r="Q38" s="72"/>
      <c r="R38" s="72">
        <f t="shared" si="7"/>
        <v>0</v>
      </c>
      <c r="S38" s="72"/>
      <c r="T38" s="72"/>
      <c r="U38" s="72">
        <f t="shared" si="8"/>
        <v>0</v>
      </c>
      <c r="V38" s="72"/>
      <c r="W38" s="72">
        <f t="shared" si="9"/>
        <v>0</v>
      </c>
      <c r="X38" s="72"/>
      <c r="Y38" s="9"/>
      <c r="Z38" s="9"/>
      <c r="AA38" s="9"/>
    </row>
    <row r="39" spans="1:27" ht="24" customHeight="1" thickBot="1">
      <c r="A39" s="131" t="s">
        <v>57</v>
      </c>
      <c r="B39" s="132" t="s">
        <v>58</v>
      </c>
      <c r="C39" s="523" t="s">
        <v>24</v>
      </c>
      <c r="D39" s="903">
        <f>I39+L39</f>
        <v>6.5000000000000002E-2</v>
      </c>
      <c r="E39" s="904">
        <f t="shared" si="2"/>
        <v>0</v>
      </c>
      <c r="F39" s="133"/>
      <c r="G39" s="134"/>
      <c r="H39" s="903">
        <f>I39</f>
        <v>6.5000000000000002E-2</v>
      </c>
      <c r="I39" s="62">
        <f>0.035+0.03</f>
        <v>6.5000000000000002E-2</v>
      </c>
      <c r="J39" s="62"/>
      <c r="K39" s="903"/>
      <c r="L39" s="62"/>
      <c r="M39" s="62"/>
      <c r="N39" s="136">
        <f t="shared" si="11"/>
        <v>0</v>
      </c>
      <c r="O39" s="137"/>
      <c r="P39" s="123">
        <f t="shared" si="6"/>
        <v>0</v>
      </c>
      <c r="Q39" s="138"/>
      <c r="R39" s="123">
        <f t="shared" si="7"/>
        <v>0</v>
      </c>
      <c r="S39" s="138"/>
      <c r="T39" s="138"/>
      <c r="U39" s="123">
        <f t="shared" si="8"/>
        <v>0</v>
      </c>
      <c r="V39" s="138"/>
      <c r="W39" s="123"/>
      <c r="X39" s="138"/>
      <c r="Y39" s="9"/>
      <c r="Z39" s="9"/>
      <c r="AA39" s="9"/>
    </row>
    <row r="40" spans="1:27" ht="16.5" thickBot="1">
      <c r="A40" s="139"/>
      <c r="B40" s="2"/>
      <c r="C40" s="93" t="s">
        <v>21</v>
      </c>
      <c r="D40" s="903">
        <f>I40+L40</f>
        <v>8.9920000000000009</v>
      </c>
      <c r="E40" s="904">
        <f t="shared" si="2"/>
        <v>0</v>
      </c>
      <c r="F40" s="141"/>
      <c r="G40" s="142"/>
      <c r="H40" s="903">
        <f>I40</f>
        <v>8.9920000000000009</v>
      </c>
      <c r="I40" s="62">
        <f>4.842+4.15</f>
        <v>8.9920000000000009</v>
      </c>
      <c r="J40" s="62"/>
      <c r="K40" s="903"/>
      <c r="L40" s="62"/>
      <c r="M40" s="62"/>
      <c r="N40" s="143">
        <f t="shared" si="11"/>
        <v>0</v>
      </c>
      <c r="O40" s="116"/>
      <c r="P40" s="121">
        <f t="shared" si="6"/>
        <v>0</v>
      </c>
      <c r="Q40" s="125"/>
      <c r="R40" s="121">
        <f t="shared" si="7"/>
        <v>0</v>
      </c>
      <c r="S40" s="144"/>
      <c r="T40" s="144"/>
      <c r="U40" s="121">
        <f t="shared" si="8"/>
        <v>0</v>
      </c>
      <c r="V40" s="144"/>
      <c r="W40" s="121"/>
      <c r="X40" s="144"/>
      <c r="Y40" s="9"/>
      <c r="Z40" s="9"/>
      <c r="AA40" s="9"/>
    </row>
    <row r="41" spans="1:27" ht="31.5" customHeight="1" thickBot="1">
      <c r="A41" s="145"/>
      <c r="B41" s="132" t="s">
        <v>59</v>
      </c>
      <c r="C41" s="523" t="s">
        <v>24</v>
      </c>
      <c r="D41" s="903">
        <f t="shared" si="0"/>
        <v>0</v>
      </c>
      <c r="E41" s="904">
        <f t="shared" si="2"/>
        <v>0</v>
      </c>
      <c r="F41" s="133"/>
      <c r="G41" s="134"/>
      <c r="H41" s="903"/>
      <c r="I41" s="62"/>
      <c r="J41" s="62"/>
      <c r="K41" s="903"/>
      <c r="L41" s="62"/>
      <c r="M41" s="62"/>
      <c r="N41" s="146">
        <f t="shared" si="11"/>
        <v>0</v>
      </c>
      <c r="O41" s="68"/>
      <c r="P41" s="146">
        <f t="shared" si="6"/>
        <v>0</v>
      </c>
      <c r="Q41" s="65"/>
      <c r="R41" s="136">
        <f t="shared" si="7"/>
        <v>0</v>
      </c>
      <c r="S41" s="138"/>
      <c r="T41" s="138"/>
      <c r="U41" s="123">
        <f t="shared" si="8"/>
        <v>0</v>
      </c>
      <c r="V41" s="138"/>
      <c r="W41" s="123"/>
      <c r="X41" s="138"/>
      <c r="Y41" s="9"/>
      <c r="Z41" s="9"/>
      <c r="AA41" s="9"/>
    </row>
    <row r="42" spans="1:27" ht="21" customHeight="1" thickBot="1">
      <c r="A42" s="147"/>
      <c r="B42" s="2"/>
      <c r="C42" s="93" t="s">
        <v>21</v>
      </c>
      <c r="D42" s="903">
        <f t="shared" si="0"/>
        <v>0</v>
      </c>
      <c r="E42" s="904">
        <f t="shared" si="2"/>
        <v>0</v>
      </c>
      <c r="F42" s="141"/>
      <c r="G42" s="142"/>
      <c r="H42" s="903"/>
      <c r="I42" s="62"/>
      <c r="J42" s="62"/>
      <c r="K42" s="903"/>
      <c r="L42" s="62"/>
      <c r="M42" s="62"/>
      <c r="N42" s="148">
        <f t="shared" si="11"/>
        <v>0</v>
      </c>
      <c r="O42" s="68"/>
      <c r="P42" s="148">
        <f t="shared" si="6"/>
        <v>0</v>
      </c>
      <c r="Q42" s="65"/>
      <c r="R42" s="143">
        <f t="shared" si="7"/>
        <v>0</v>
      </c>
      <c r="S42" s="144"/>
      <c r="T42" s="144"/>
      <c r="U42" s="121">
        <f t="shared" si="8"/>
        <v>0</v>
      </c>
      <c r="V42" s="144"/>
      <c r="W42" s="121"/>
      <c r="X42" s="144"/>
      <c r="Y42" s="9"/>
      <c r="Z42" s="9"/>
      <c r="AA42" s="9"/>
    </row>
    <row r="43" spans="1:27" ht="16.5" thickBot="1">
      <c r="A43" s="113">
        <v>7</v>
      </c>
      <c r="B43" s="114" t="s">
        <v>60</v>
      </c>
      <c r="C43" s="523" t="s">
        <v>47</v>
      </c>
      <c r="D43" s="903">
        <f>I43+L43</f>
        <v>1</v>
      </c>
      <c r="E43" s="904">
        <f t="shared" si="2"/>
        <v>0</v>
      </c>
      <c r="F43" s="62"/>
      <c r="G43" s="63"/>
      <c r="H43" s="903">
        <f>I43</f>
        <v>1</v>
      </c>
      <c r="I43" s="62">
        <f>1</f>
        <v>1</v>
      </c>
      <c r="J43" s="62"/>
      <c r="K43" s="903"/>
      <c r="L43" s="62"/>
      <c r="M43" s="62"/>
      <c r="N43" s="59">
        <f t="shared" si="11"/>
        <v>0</v>
      </c>
      <c r="O43" s="116"/>
      <c r="P43" s="57">
        <f t="shared" si="6"/>
        <v>0</v>
      </c>
      <c r="Q43" s="53"/>
      <c r="R43" s="57">
        <f t="shared" si="7"/>
        <v>0</v>
      </c>
      <c r="S43" s="123"/>
      <c r="T43" s="123"/>
      <c r="U43" s="57">
        <f t="shared" si="8"/>
        <v>0</v>
      </c>
      <c r="V43" s="123"/>
      <c r="W43" s="57">
        <f t="shared" ref="W43:W70" si="12">X43</f>
        <v>0</v>
      </c>
      <c r="X43" s="123"/>
      <c r="Y43" s="9"/>
      <c r="Z43" s="9"/>
      <c r="AA43" s="9"/>
    </row>
    <row r="44" spans="1:27" ht="16.5" thickBot="1">
      <c r="A44" s="149"/>
      <c r="B44" s="2" t="s">
        <v>61</v>
      </c>
      <c r="C44" s="524" t="s">
        <v>21</v>
      </c>
      <c r="D44" s="903">
        <f>I44+L44</f>
        <v>0.73899999999999999</v>
      </c>
      <c r="E44" s="904">
        <f t="shared" si="2"/>
        <v>0</v>
      </c>
      <c r="F44" s="62"/>
      <c r="G44" s="63"/>
      <c r="H44" s="903">
        <f>I44</f>
        <v>0.73899999999999999</v>
      </c>
      <c r="I44" s="62">
        <v>0.73899999999999999</v>
      </c>
      <c r="J44" s="62"/>
      <c r="K44" s="903"/>
      <c r="L44" s="62"/>
      <c r="M44" s="62"/>
      <c r="N44" s="59">
        <f t="shared" si="11"/>
        <v>0</v>
      </c>
      <c r="O44" s="120"/>
      <c r="P44" s="57">
        <f t="shared" si="6"/>
        <v>0</v>
      </c>
      <c r="Q44" s="121"/>
      <c r="R44" s="57">
        <f t="shared" si="7"/>
        <v>0</v>
      </c>
      <c r="S44" s="121"/>
      <c r="T44" s="121"/>
      <c r="U44" s="57">
        <f t="shared" si="8"/>
        <v>0</v>
      </c>
      <c r="V44" s="121"/>
      <c r="W44" s="57">
        <f t="shared" si="12"/>
        <v>0</v>
      </c>
      <c r="X44" s="121"/>
      <c r="Y44" s="9"/>
      <c r="Z44" s="9"/>
      <c r="AA44" s="9"/>
    </row>
    <row r="45" spans="1:27" ht="16.5" thickBot="1">
      <c r="A45" s="111">
        <v>8</v>
      </c>
      <c r="B45" s="1" t="s">
        <v>62</v>
      </c>
      <c r="C45" s="518" t="s">
        <v>47</v>
      </c>
      <c r="D45" s="903">
        <f t="shared" si="0"/>
        <v>0</v>
      </c>
      <c r="E45" s="904">
        <f t="shared" si="2"/>
        <v>0</v>
      </c>
      <c r="F45" s="62"/>
      <c r="G45" s="63"/>
      <c r="H45" s="903"/>
      <c r="I45" s="62"/>
      <c r="J45" s="62"/>
      <c r="K45" s="903"/>
      <c r="L45" s="62"/>
      <c r="M45" s="62"/>
      <c r="N45" s="59">
        <f t="shared" si="11"/>
        <v>0</v>
      </c>
      <c r="O45" s="116"/>
      <c r="P45" s="57">
        <f t="shared" si="6"/>
        <v>0</v>
      </c>
      <c r="Q45" s="123"/>
      <c r="R45" s="57">
        <f t="shared" si="7"/>
        <v>0</v>
      </c>
      <c r="S45" s="123"/>
      <c r="T45" s="123"/>
      <c r="U45" s="57">
        <f t="shared" si="8"/>
        <v>0</v>
      </c>
      <c r="V45" s="123"/>
      <c r="W45" s="57">
        <f t="shared" si="12"/>
        <v>0</v>
      </c>
      <c r="X45" s="123"/>
      <c r="Y45" s="9"/>
      <c r="Z45" s="9"/>
      <c r="AA45" s="9"/>
    </row>
    <row r="46" spans="1:27" ht="16.5" thickBot="1">
      <c r="A46" s="150"/>
      <c r="B46" s="151" t="s">
        <v>63</v>
      </c>
      <c r="C46" s="520" t="s">
        <v>21</v>
      </c>
      <c r="D46" s="903">
        <f t="shared" si="0"/>
        <v>0</v>
      </c>
      <c r="E46" s="904">
        <f t="shared" si="2"/>
        <v>0</v>
      </c>
      <c r="F46" s="62"/>
      <c r="G46" s="63"/>
      <c r="H46" s="903"/>
      <c r="I46" s="62"/>
      <c r="J46" s="62"/>
      <c r="K46" s="903"/>
      <c r="L46" s="62"/>
      <c r="M46" s="62"/>
      <c r="N46" s="59">
        <f t="shared" si="11"/>
        <v>0</v>
      </c>
      <c r="O46" s="130"/>
      <c r="P46" s="57">
        <f t="shared" si="6"/>
        <v>0</v>
      </c>
      <c r="Q46" s="121"/>
      <c r="R46" s="57">
        <f t="shared" si="7"/>
        <v>0</v>
      </c>
      <c r="S46" s="121"/>
      <c r="T46" s="121"/>
      <c r="U46" s="57">
        <f t="shared" si="8"/>
        <v>0</v>
      </c>
      <c r="V46" s="121"/>
      <c r="W46" s="57">
        <f t="shared" si="12"/>
        <v>0</v>
      </c>
      <c r="X46" s="121"/>
      <c r="Y46" s="9"/>
      <c r="Z46" s="9"/>
      <c r="AA46" s="9"/>
    </row>
    <row r="47" spans="1:27" ht="16.5" thickBot="1">
      <c r="A47" s="113">
        <v>9</v>
      </c>
      <c r="B47" s="114" t="s">
        <v>64</v>
      </c>
      <c r="C47" s="523" t="s">
        <v>51</v>
      </c>
      <c r="D47" s="903">
        <f t="shared" si="0"/>
        <v>0</v>
      </c>
      <c r="E47" s="904">
        <f t="shared" si="2"/>
        <v>0</v>
      </c>
      <c r="F47" s="62"/>
      <c r="G47" s="63"/>
      <c r="H47" s="903"/>
      <c r="I47" s="62"/>
      <c r="J47" s="62"/>
      <c r="K47" s="903"/>
      <c r="L47" s="62"/>
      <c r="M47" s="62"/>
      <c r="N47" s="59">
        <f t="shared" si="11"/>
        <v>0</v>
      </c>
      <c r="O47" s="137"/>
      <c r="P47" s="57">
        <f t="shared" si="6"/>
        <v>0</v>
      </c>
      <c r="Q47" s="123"/>
      <c r="R47" s="57">
        <f t="shared" si="7"/>
        <v>0</v>
      </c>
      <c r="S47" s="123"/>
      <c r="T47" s="123"/>
      <c r="U47" s="57">
        <f t="shared" si="8"/>
        <v>0</v>
      </c>
      <c r="V47" s="123"/>
      <c r="W47" s="57">
        <f t="shared" si="12"/>
        <v>0</v>
      </c>
      <c r="X47" s="123"/>
      <c r="Y47" s="9"/>
      <c r="Z47" s="9"/>
      <c r="AA47" s="9"/>
    </row>
    <row r="48" spans="1:27" ht="16.5" thickBot="1">
      <c r="A48" s="150"/>
      <c r="B48" s="70"/>
      <c r="C48" s="520" t="s">
        <v>21</v>
      </c>
      <c r="D48" s="903">
        <f t="shared" si="0"/>
        <v>0</v>
      </c>
      <c r="E48" s="904">
        <f t="shared" si="2"/>
        <v>0</v>
      </c>
      <c r="F48" s="62"/>
      <c r="G48" s="63"/>
      <c r="H48" s="903"/>
      <c r="I48" s="62"/>
      <c r="J48" s="62"/>
      <c r="K48" s="903"/>
      <c r="L48" s="62"/>
      <c r="M48" s="62"/>
      <c r="N48" s="59">
        <f t="shared" si="11"/>
        <v>0</v>
      </c>
      <c r="O48" s="130"/>
      <c r="P48" s="57">
        <f t="shared" si="6"/>
        <v>0</v>
      </c>
      <c r="Q48" s="121"/>
      <c r="R48" s="57">
        <f t="shared" si="7"/>
        <v>0</v>
      </c>
      <c r="S48" s="121"/>
      <c r="T48" s="121"/>
      <c r="U48" s="57">
        <f t="shared" si="8"/>
        <v>0</v>
      </c>
      <c r="V48" s="121"/>
      <c r="W48" s="57">
        <f t="shared" si="12"/>
        <v>0</v>
      </c>
      <c r="X48" s="121"/>
      <c r="Y48" s="9"/>
      <c r="Z48" s="9"/>
      <c r="AA48" s="9"/>
    </row>
    <row r="49" spans="1:27" ht="16.5" thickBot="1">
      <c r="A49" s="113">
        <v>10</v>
      </c>
      <c r="B49" s="114" t="s">
        <v>65</v>
      </c>
      <c r="C49" s="523" t="s">
        <v>47</v>
      </c>
      <c r="D49" s="903">
        <f t="shared" si="0"/>
        <v>0</v>
      </c>
      <c r="E49" s="904">
        <f t="shared" si="2"/>
        <v>0</v>
      </c>
      <c r="F49" s="62"/>
      <c r="G49" s="63"/>
      <c r="H49" s="903"/>
      <c r="I49" s="62"/>
      <c r="J49" s="62"/>
      <c r="K49" s="903"/>
      <c r="L49" s="62"/>
      <c r="M49" s="62"/>
      <c r="N49" s="59">
        <f t="shared" si="11"/>
        <v>0</v>
      </c>
      <c r="O49" s="137"/>
      <c r="P49" s="57">
        <f t="shared" si="6"/>
        <v>0</v>
      </c>
      <c r="Q49" s="123"/>
      <c r="R49" s="57">
        <f t="shared" si="7"/>
        <v>0</v>
      </c>
      <c r="S49" s="123"/>
      <c r="T49" s="123"/>
      <c r="U49" s="57">
        <f t="shared" si="8"/>
        <v>0</v>
      </c>
      <c r="V49" s="123"/>
      <c r="W49" s="57">
        <f t="shared" si="12"/>
        <v>0</v>
      </c>
      <c r="X49" s="123"/>
      <c r="Y49" s="9"/>
      <c r="Z49" s="9"/>
      <c r="AA49" s="9"/>
    </row>
    <row r="50" spans="1:27" ht="16.5" thickBot="1">
      <c r="A50" s="152"/>
      <c r="B50" s="2" t="s">
        <v>66</v>
      </c>
      <c r="C50" s="524" t="s">
        <v>21</v>
      </c>
      <c r="D50" s="903">
        <f t="shared" si="0"/>
        <v>0</v>
      </c>
      <c r="E50" s="904">
        <f t="shared" si="2"/>
        <v>0</v>
      </c>
      <c r="F50" s="62"/>
      <c r="G50" s="63"/>
      <c r="H50" s="903"/>
      <c r="I50" s="62"/>
      <c r="J50" s="62"/>
      <c r="K50" s="903"/>
      <c r="L50" s="62"/>
      <c r="M50" s="62"/>
      <c r="N50" s="59">
        <f t="shared" si="11"/>
        <v>0</v>
      </c>
      <c r="O50" s="120"/>
      <c r="P50" s="57">
        <f t="shared" si="6"/>
        <v>0</v>
      </c>
      <c r="Q50" s="121"/>
      <c r="R50" s="57">
        <f t="shared" si="7"/>
        <v>0</v>
      </c>
      <c r="S50" s="121"/>
      <c r="T50" s="121"/>
      <c r="U50" s="57">
        <f t="shared" si="8"/>
        <v>0</v>
      </c>
      <c r="V50" s="121"/>
      <c r="W50" s="57">
        <f t="shared" si="12"/>
        <v>0</v>
      </c>
      <c r="X50" s="121"/>
      <c r="Y50" s="9"/>
      <c r="Z50" s="9"/>
      <c r="AA50" s="9"/>
    </row>
    <row r="51" spans="1:27" ht="16.5" thickBot="1">
      <c r="A51" s="113">
        <v>11</v>
      </c>
      <c r="B51" s="114" t="s">
        <v>67</v>
      </c>
      <c r="C51" s="523" t="s">
        <v>47</v>
      </c>
      <c r="D51" s="903">
        <f t="shared" si="0"/>
        <v>1</v>
      </c>
      <c r="E51" s="904">
        <f t="shared" si="2"/>
        <v>0</v>
      </c>
      <c r="F51" s="62"/>
      <c r="G51" s="63"/>
      <c r="H51" s="903">
        <f>J51</f>
        <v>1</v>
      </c>
      <c r="I51" s="62"/>
      <c r="J51" s="62">
        <v>1</v>
      </c>
      <c r="K51" s="903"/>
      <c r="L51" s="62"/>
      <c r="M51" s="62"/>
      <c r="N51" s="59">
        <f t="shared" si="11"/>
        <v>0</v>
      </c>
      <c r="O51" s="137"/>
      <c r="P51" s="57">
        <f t="shared" si="6"/>
        <v>0</v>
      </c>
      <c r="Q51" s="123"/>
      <c r="R51" s="57">
        <f t="shared" si="7"/>
        <v>0</v>
      </c>
      <c r="S51" s="123"/>
      <c r="T51" s="123"/>
      <c r="U51" s="57">
        <f t="shared" si="8"/>
        <v>0</v>
      </c>
      <c r="V51" s="123"/>
      <c r="W51" s="57">
        <f t="shared" si="12"/>
        <v>0</v>
      </c>
      <c r="X51" s="123"/>
      <c r="Y51" s="9"/>
      <c r="Z51" s="9"/>
      <c r="AA51" s="9"/>
    </row>
    <row r="52" spans="1:27" ht="15.75" customHeight="1" thickBot="1">
      <c r="A52" s="152"/>
      <c r="B52" s="118"/>
      <c r="C52" s="524" t="s">
        <v>21</v>
      </c>
      <c r="D52" s="903">
        <f t="shared" si="0"/>
        <v>29.18</v>
      </c>
      <c r="E52" s="904">
        <f t="shared" si="2"/>
        <v>0</v>
      </c>
      <c r="F52" s="62"/>
      <c r="G52" s="63"/>
      <c r="H52" s="903">
        <f>J52</f>
        <v>29.18</v>
      </c>
      <c r="I52" s="62"/>
      <c r="J52" s="62">
        <v>29.18</v>
      </c>
      <c r="K52" s="903"/>
      <c r="L52" s="62"/>
      <c r="M52" s="62"/>
      <c r="N52" s="59">
        <f t="shared" si="11"/>
        <v>0</v>
      </c>
      <c r="O52" s="120"/>
      <c r="P52" s="57">
        <f t="shared" si="6"/>
        <v>0</v>
      </c>
      <c r="Q52" s="121"/>
      <c r="R52" s="57">
        <f t="shared" si="7"/>
        <v>0</v>
      </c>
      <c r="S52" s="121"/>
      <c r="T52" s="121"/>
      <c r="U52" s="57">
        <f t="shared" si="8"/>
        <v>0</v>
      </c>
      <c r="V52" s="121"/>
      <c r="W52" s="57">
        <f t="shared" si="12"/>
        <v>0</v>
      </c>
      <c r="X52" s="121"/>
      <c r="Y52" s="9"/>
      <c r="Z52" s="9"/>
      <c r="AA52" s="9"/>
    </row>
    <row r="53" spans="1:27" ht="16.5" thickBot="1">
      <c r="A53" s="113">
        <v>12</v>
      </c>
      <c r="B53" s="114" t="s">
        <v>68</v>
      </c>
      <c r="C53" s="523" t="s">
        <v>47</v>
      </c>
      <c r="D53" s="903">
        <f t="shared" si="0"/>
        <v>5</v>
      </c>
      <c r="E53" s="904">
        <f t="shared" si="2"/>
        <v>0</v>
      </c>
      <c r="F53" s="62"/>
      <c r="G53" s="63"/>
      <c r="H53" s="903">
        <f>J53</f>
        <v>5</v>
      </c>
      <c r="I53" s="62"/>
      <c r="J53" s="62">
        <v>5</v>
      </c>
      <c r="K53" s="903"/>
      <c r="L53" s="62"/>
      <c r="M53" s="62"/>
      <c r="N53" s="59">
        <f t="shared" si="11"/>
        <v>0</v>
      </c>
      <c r="O53" s="137"/>
      <c r="P53" s="57">
        <f t="shared" si="6"/>
        <v>0</v>
      </c>
      <c r="Q53" s="123"/>
      <c r="R53" s="57">
        <f t="shared" si="7"/>
        <v>0</v>
      </c>
      <c r="S53" s="123"/>
      <c r="T53" s="123"/>
      <c r="U53" s="57">
        <f t="shared" si="8"/>
        <v>0</v>
      </c>
      <c r="V53" s="123"/>
      <c r="W53" s="57">
        <f t="shared" si="12"/>
        <v>0</v>
      </c>
      <c r="X53" s="123"/>
      <c r="Y53" s="9"/>
      <c r="Z53" s="9"/>
      <c r="AA53" s="9"/>
    </row>
    <row r="54" spans="1:27" ht="16.5" thickBot="1">
      <c r="A54" s="152"/>
      <c r="B54" s="2" t="s">
        <v>69</v>
      </c>
      <c r="C54" s="524" t="s">
        <v>21</v>
      </c>
      <c r="D54" s="903">
        <f t="shared" si="0"/>
        <v>99.897000000000006</v>
      </c>
      <c r="E54" s="904">
        <f t="shared" si="2"/>
        <v>0</v>
      </c>
      <c r="F54" s="62"/>
      <c r="G54" s="63"/>
      <c r="H54" s="903">
        <f>J54</f>
        <v>99.897000000000006</v>
      </c>
      <c r="I54" s="62"/>
      <c r="J54" s="62">
        <v>99.897000000000006</v>
      </c>
      <c r="K54" s="903"/>
      <c r="L54" s="62"/>
      <c r="M54" s="62"/>
      <c r="N54" s="59">
        <f t="shared" si="11"/>
        <v>0</v>
      </c>
      <c r="O54" s="120"/>
      <c r="P54" s="57">
        <f t="shared" si="6"/>
        <v>0</v>
      </c>
      <c r="Q54" s="121"/>
      <c r="R54" s="57">
        <f t="shared" si="7"/>
        <v>0</v>
      </c>
      <c r="S54" s="121"/>
      <c r="T54" s="121"/>
      <c r="U54" s="57">
        <f t="shared" si="8"/>
        <v>0</v>
      </c>
      <c r="V54" s="121"/>
      <c r="W54" s="57">
        <f t="shared" si="12"/>
        <v>0</v>
      </c>
      <c r="X54" s="121"/>
      <c r="Y54" s="9"/>
      <c r="Z54" s="9"/>
      <c r="AA54" s="9"/>
    </row>
    <row r="55" spans="1:27" ht="16.5" thickBot="1">
      <c r="A55" s="113">
        <v>14</v>
      </c>
      <c r="B55" s="114" t="s">
        <v>70</v>
      </c>
      <c r="C55" s="523" t="s">
        <v>24</v>
      </c>
      <c r="D55" s="903">
        <f t="shared" si="0"/>
        <v>0</v>
      </c>
      <c r="E55" s="904">
        <f t="shared" si="2"/>
        <v>0</v>
      </c>
      <c r="F55" s="62"/>
      <c r="G55" s="63"/>
      <c r="H55" s="903"/>
      <c r="I55" s="62"/>
      <c r="J55" s="62"/>
      <c r="K55" s="903"/>
      <c r="L55" s="62"/>
      <c r="M55" s="62"/>
      <c r="N55" s="59">
        <f t="shared" si="11"/>
        <v>0</v>
      </c>
      <c r="O55" s="122"/>
      <c r="P55" s="57">
        <f t="shared" si="6"/>
        <v>0</v>
      </c>
      <c r="Q55" s="123"/>
      <c r="R55" s="57">
        <f t="shared" si="7"/>
        <v>0</v>
      </c>
      <c r="S55" s="123"/>
      <c r="T55" s="123"/>
      <c r="U55" s="57">
        <f t="shared" si="8"/>
        <v>0</v>
      </c>
      <c r="V55" s="123"/>
      <c r="W55" s="57">
        <f t="shared" si="12"/>
        <v>0</v>
      </c>
      <c r="X55" s="123"/>
      <c r="Y55" s="9"/>
      <c r="Z55" s="9"/>
      <c r="AA55" s="9"/>
    </row>
    <row r="56" spans="1:27" ht="16.5" thickBot="1">
      <c r="A56" s="150"/>
      <c r="B56" s="151" t="s">
        <v>71</v>
      </c>
      <c r="C56" s="520" t="s">
        <v>21</v>
      </c>
      <c r="D56" s="903">
        <f t="shared" si="0"/>
        <v>0</v>
      </c>
      <c r="E56" s="904">
        <f t="shared" si="2"/>
        <v>0</v>
      </c>
      <c r="F56" s="62"/>
      <c r="G56" s="63"/>
      <c r="H56" s="903"/>
      <c r="I56" s="62"/>
      <c r="J56" s="62"/>
      <c r="K56" s="903"/>
      <c r="L56" s="62"/>
      <c r="M56" s="62"/>
      <c r="N56" s="59">
        <f t="shared" si="11"/>
        <v>0</v>
      </c>
      <c r="O56" s="130"/>
      <c r="P56" s="57">
        <f t="shared" si="6"/>
        <v>0</v>
      </c>
      <c r="Q56" s="72"/>
      <c r="R56" s="57">
        <f t="shared" si="7"/>
        <v>0</v>
      </c>
      <c r="S56" s="72"/>
      <c r="T56" s="72"/>
      <c r="U56" s="57">
        <f t="shared" si="8"/>
        <v>0</v>
      </c>
      <c r="V56" s="72"/>
      <c r="W56" s="57">
        <f t="shared" si="12"/>
        <v>0</v>
      </c>
      <c r="X56" s="72"/>
      <c r="Y56" s="9"/>
      <c r="Z56" s="9"/>
      <c r="AA56" s="9"/>
    </row>
    <row r="57" spans="1:27" ht="16.5" thickBot="1">
      <c r="A57" s="153">
        <v>15</v>
      </c>
      <c r="B57" s="3" t="s">
        <v>72</v>
      </c>
      <c r="C57" s="523" t="s">
        <v>47</v>
      </c>
      <c r="D57" s="903">
        <f t="shared" si="0"/>
        <v>0</v>
      </c>
      <c r="E57" s="904">
        <f t="shared" si="2"/>
        <v>0</v>
      </c>
      <c r="F57" s="62"/>
      <c r="G57" s="63"/>
      <c r="H57" s="903"/>
      <c r="I57" s="62"/>
      <c r="J57" s="62"/>
      <c r="K57" s="903"/>
      <c r="L57" s="62"/>
      <c r="M57" s="62"/>
      <c r="N57" s="59">
        <f t="shared" si="11"/>
        <v>0</v>
      </c>
      <c r="O57" s="122"/>
      <c r="P57" s="57">
        <f t="shared" si="6"/>
        <v>0</v>
      </c>
      <c r="Q57" s="123"/>
      <c r="R57" s="57">
        <f t="shared" si="7"/>
        <v>0</v>
      </c>
      <c r="S57" s="123"/>
      <c r="T57" s="123"/>
      <c r="U57" s="57">
        <f t="shared" si="8"/>
        <v>0</v>
      </c>
      <c r="V57" s="123"/>
      <c r="W57" s="57">
        <f t="shared" si="12"/>
        <v>0</v>
      </c>
      <c r="X57" s="123"/>
    </row>
    <row r="58" spans="1:27" ht="16.5" thickBot="1">
      <c r="A58" s="154"/>
      <c r="B58" s="155" t="s">
        <v>73</v>
      </c>
      <c r="C58" s="520" t="s">
        <v>21</v>
      </c>
      <c r="D58" s="903">
        <f t="shared" si="0"/>
        <v>0</v>
      </c>
      <c r="E58" s="904">
        <f t="shared" si="2"/>
        <v>0</v>
      </c>
      <c r="F58" s="73"/>
      <c r="G58" s="74"/>
      <c r="H58" s="903"/>
      <c r="I58" s="62"/>
      <c r="J58" s="62"/>
      <c r="K58" s="903"/>
      <c r="L58" s="62"/>
      <c r="M58" s="62"/>
      <c r="N58" s="129">
        <f t="shared" si="11"/>
        <v>0</v>
      </c>
      <c r="O58" s="130"/>
      <c r="P58" s="72">
        <f t="shared" si="6"/>
        <v>0</v>
      </c>
      <c r="Q58" s="72"/>
      <c r="R58" s="72">
        <f t="shared" si="7"/>
        <v>0</v>
      </c>
      <c r="S58" s="72"/>
      <c r="T58" s="72"/>
      <c r="U58" s="72">
        <f t="shared" si="8"/>
        <v>0</v>
      </c>
      <c r="V58" s="72"/>
      <c r="W58" s="72">
        <f t="shared" si="12"/>
        <v>0</v>
      </c>
      <c r="X58" s="72"/>
    </row>
    <row r="59" spans="1:27" ht="16.5" thickBot="1">
      <c r="A59" s="156">
        <v>16</v>
      </c>
      <c r="B59" s="157" t="s">
        <v>74</v>
      </c>
      <c r="C59" s="523" t="s">
        <v>47</v>
      </c>
      <c r="D59" s="903">
        <f t="shared" si="0"/>
        <v>0</v>
      </c>
      <c r="E59" s="904">
        <f t="shared" si="2"/>
        <v>0</v>
      </c>
      <c r="F59" s="159"/>
      <c r="G59" s="160"/>
      <c r="H59" s="903"/>
      <c r="I59" s="62"/>
      <c r="J59" s="62"/>
      <c r="K59" s="903"/>
      <c r="L59" s="62"/>
      <c r="M59" s="62"/>
      <c r="N59" s="161">
        <f t="shared" si="11"/>
        <v>0</v>
      </c>
      <c r="O59" s="162"/>
      <c r="P59" s="138">
        <f t="shared" si="6"/>
        <v>0</v>
      </c>
      <c r="Q59" s="158"/>
      <c r="R59" s="138">
        <f t="shared" si="7"/>
        <v>0</v>
      </c>
      <c r="S59" s="158"/>
      <c r="T59" s="158"/>
      <c r="U59" s="138">
        <f t="shared" si="8"/>
        <v>0</v>
      </c>
      <c r="V59" s="158"/>
      <c r="W59" s="138">
        <f t="shared" si="12"/>
        <v>0</v>
      </c>
      <c r="X59" s="163"/>
    </row>
    <row r="60" spans="1:27" ht="16.5" thickBot="1">
      <c r="A60" s="164"/>
      <c r="B60" s="165"/>
      <c r="C60" s="524" t="s">
        <v>21</v>
      </c>
      <c r="D60" s="903">
        <f t="shared" si="0"/>
        <v>0</v>
      </c>
      <c r="E60" s="904">
        <f t="shared" si="2"/>
        <v>0</v>
      </c>
      <c r="F60" s="167"/>
      <c r="G60" s="168"/>
      <c r="H60" s="903"/>
      <c r="I60" s="62"/>
      <c r="J60" s="62"/>
      <c r="K60" s="903"/>
      <c r="L60" s="62"/>
      <c r="M60" s="62"/>
      <c r="N60" s="143">
        <f t="shared" si="11"/>
        <v>0</v>
      </c>
      <c r="O60" s="169"/>
      <c r="P60" s="121">
        <f t="shared" si="6"/>
        <v>0</v>
      </c>
      <c r="Q60" s="166"/>
      <c r="R60" s="121">
        <f t="shared" si="7"/>
        <v>0</v>
      </c>
      <c r="S60" s="166"/>
      <c r="T60" s="166"/>
      <c r="U60" s="121">
        <f t="shared" si="8"/>
        <v>0</v>
      </c>
      <c r="V60" s="166"/>
      <c r="W60" s="121">
        <f t="shared" si="12"/>
        <v>0</v>
      </c>
      <c r="X60" s="170"/>
    </row>
    <row r="61" spans="1:27" ht="40.5" customHeight="1" thickBot="1">
      <c r="A61" s="156">
        <v>17</v>
      </c>
      <c r="B61" s="171" t="s">
        <v>75</v>
      </c>
      <c r="C61" s="523" t="s">
        <v>24</v>
      </c>
      <c r="D61" s="903">
        <f t="shared" si="0"/>
        <v>0</v>
      </c>
      <c r="E61" s="904">
        <f t="shared" si="2"/>
        <v>0</v>
      </c>
      <c r="F61" s="159"/>
      <c r="G61" s="160"/>
      <c r="H61" s="903"/>
      <c r="I61" s="62"/>
      <c r="J61" s="62"/>
      <c r="K61" s="903"/>
      <c r="L61" s="62"/>
      <c r="M61" s="62"/>
      <c r="N61" s="161">
        <f t="shared" si="11"/>
        <v>0</v>
      </c>
      <c r="O61" s="162"/>
      <c r="P61" s="138">
        <f t="shared" si="6"/>
        <v>0</v>
      </c>
      <c r="Q61" s="158"/>
      <c r="R61" s="138">
        <f t="shared" si="7"/>
        <v>0</v>
      </c>
      <c r="S61" s="158"/>
      <c r="T61" s="158"/>
      <c r="U61" s="138">
        <f t="shared" si="8"/>
        <v>0</v>
      </c>
      <c r="V61" s="158"/>
      <c r="W61" s="138">
        <f t="shared" si="12"/>
        <v>0</v>
      </c>
      <c r="X61" s="163"/>
    </row>
    <row r="62" spans="1:27" ht="16.5" thickBot="1">
      <c r="A62" s="164"/>
      <c r="B62" s="172"/>
      <c r="C62" s="524" t="s">
        <v>21</v>
      </c>
      <c r="D62" s="903">
        <f t="shared" si="0"/>
        <v>0</v>
      </c>
      <c r="E62" s="904">
        <f t="shared" si="2"/>
        <v>0</v>
      </c>
      <c r="F62" s="167"/>
      <c r="G62" s="168"/>
      <c r="H62" s="903"/>
      <c r="I62" s="62"/>
      <c r="J62" s="62"/>
      <c r="K62" s="903"/>
      <c r="L62" s="62"/>
      <c r="M62" s="62"/>
      <c r="N62" s="143">
        <f t="shared" si="11"/>
        <v>0</v>
      </c>
      <c r="O62" s="169"/>
      <c r="P62" s="121">
        <f t="shared" si="6"/>
        <v>0</v>
      </c>
      <c r="Q62" s="166"/>
      <c r="R62" s="121">
        <f t="shared" si="7"/>
        <v>0</v>
      </c>
      <c r="S62" s="166"/>
      <c r="T62" s="166"/>
      <c r="U62" s="121">
        <f t="shared" si="8"/>
        <v>0</v>
      </c>
      <c r="V62" s="166"/>
      <c r="W62" s="121">
        <f t="shared" si="12"/>
        <v>0</v>
      </c>
      <c r="X62" s="170"/>
    </row>
    <row r="63" spans="1:27" ht="16.5" thickBot="1">
      <c r="A63" s="156">
        <v>18</v>
      </c>
      <c r="B63" s="157" t="s">
        <v>76</v>
      </c>
      <c r="C63" s="523" t="s">
        <v>47</v>
      </c>
      <c r="D63" s="903">
        <f t="shared" si="0"/>
        <v>0</v>
      </c>
      <c r="E63" s="904">
        <f t="shared" si="2"/>
        <v>0</v>
      </c>
      <c r="F63" s="159"/>
      <c r="G63" s="160"/>
      <c r="H63" s="903"/>
      <c r="I63" s="62"/>
      <c r="J63" s="62"/>
      <c r="K63" s="903"/>
      <c r="L63" s="62"/>
      <c r="M63" s="62"/>
      <c r="N63" s="161">
        <f t="shared" si="11"/>
        <v>0</v>
      </c>
      <c r="O63" s="162"/>
      <c r="P63" s="138">
        <f t="shared" si="6"/>
        <v>0</v>
      </c>
      <c r="Q63" s="158"/>
      <c r="R63" s="138">
        <f t="shared" si="7"/>
        <v>0</v>
      </c>
      <c r="S63" s="158"/>
      <c r="T63" s="158"/>
      <c r="U63" s="138">
        <f t="shared" si="8"/>
        <v>0</v>
      </c>
      <c r="V63" s="158"/>
      <c r="W63" s="138">
        <f t="shared" si="12"/>
        <v>0</v>
      </c>
      <c r="X63" s="163"/>
    </row>
    <row r="64" spans="1:27" ht="16.5" thickBot="1">
      <c r="A64" s="164"/>
      <c r="B64" s="165"/>
      <c r="C64" s="524" t="s">
        <v>21</v>
      </c>
      <c r="D64" s="903">
        <f t="shared" si="0"/>
        <v>0</v>
      </c>
      <c r="E64" s="904">
        <f t="shared" si="2"/>
        <v>0</v>
      </c>
      <c r="F64" s="167"/>
      <c r="G64" s="168"/>
      <c r="H64" s="903"/>
      <c r="I64" s="62"/>
      <c r="J64" s="62"/>
      <c r="K64" s="903"/>
      <c r="L64" s="62"/>
      <c r="M64" s="62"/>
      <c r="N64" s="143">
        <f t="shared" si="11"/>
        <v>0</v>
      </c>
      <c r="O64" s="169"/>
      <c r="P64" s="121">
        <f t="shared" si="6"/>
        <v>0</v>
      </c>
      <c r="Q64" s="166"/>
      <c r="R64" s="121">
        <f t="shared" si="7"/>
        <v>0</v>
      </c>
      <c r="S64" s="166"/>
      <c r="T64" s="166"/>
      <c r="U64" s="121">
        <f t="shared" si="8"/>
        <v>0</v>
      </c>
      <c r="V64" s="166"/>
      <c r="W64" s="121">
        <f t="shared" si="12"/>
        <v>0</v>
      </c>
      <c r="X64" s="170"/>
    </row>
    <row r="65" spans="1:27" ht="16.5" thickBot="1">
      <c r="A65" s="156">
        <v>19</v>
      </c>
      <c r="B65" s="157" t="s">
        <v>77</v>
      </c>
      <c r="C65" s="523" t="s">
        <v>47</v>
      </c>
      <c r="D65" s="903">
        <f t="shared" si="0"/>
        <v>0</v>
      </c>
      <c r="E65" s="904">
        <f t="shared" si="2"/>
        <v>0</v>
      </c>
      <c r="F65" s="159"/>
      <c r="G65" s="160"/>
      <c r="H65" s="903"/>
      <c r="I65" s="62"/>
      <c r="J65" s="62"/>
      <c r="K65" s="903"/>
      <c r="L65" s="62"/>
      <c r="M65" s="62"/>
      <c r="N65" s="161">
        <f t="shared" si="11"/>
        <v>0</v>
      </c>
      <c r="O65" s="162"/>
      <c r="P65" s="138">
        <f t="shared" si="6"/>
        <v>0</v>
      </c>
      <c r="Q65" s="158"/>
      <c r="R65" s="138">
        <f t="shared" si="7"/>
        <v>0</v>
      </c>
      <c r="S65" s="158"/>
      <c r="T65" s="158"/>
      <c r="U65" s="138">
        <f t="shared" si="8"/>
        <v>0</v>
      </c>
      <c r="V65" s="158"/>
      <c r="W65" s="138">
        <f t="shared" si="12"/>
        <v>0</v>
      </c>
      <c r="X65" s="163"/>
    </row>
    <row r="66" spans="1:27" ht="16.5" thickBot="1">
      <c r="A66" s="164"/>
      <c r="B66" s="165"/>
      <c r="C66" s="524" t="s">
        <v>21</v>
      </c>
      <c r="D66" s="903">
        <f t="shared" si="0"/>
        <v>0</v>
      </c>
      <c r="E66" s="904">
        <f t="shared" si="2"/>
        <v>0</v>
      </c>
      <c r="F66" s="167"/>
      <c r="G66" s="168"/>
      <c r="H66" s="903"/>
      <c r="I66" s="62"/>
      <c r="J66" s="62"/>
      <c r="K66" s="903"/>
      <c r="L66" s="62"/>
      <c r="M66" s="62"/>
      <c r="N66" s="143">
        <f t="shared" si="11"/>
        <v>0</v>
      </c>
      <c r="O66" s="169"/>
      <c r="P66" s="121">
        <f t="shared" si="6"/>
        <v>0</v>
      </c>
      <c r="Q66" s="166"/>
      <c r="R66" s="121">
        <f t="shared" si="7"/>
        <v>0</v>
      </c>
      <c r="S66" s="166"/>
      <c r="T66" s="166"/>
      <c r="U66" s="121">
        <f t="shared" si="8"/>
        <v>0</v>
      </c>
      <c r="V66" s="166"/>
      <c r="W66" s="121">
        <f t="shared" si="12"/>
        <v>0</v>
      </c>
      <c r="X66" s="170"/>
    </row>
    <row r="67" spans="1:27" ht="32.25" thickBot="1">
      <c r="A67" s="156">
        <v>20</v>
      </c>
      <c r="B67" s="171" t="s">
        <v>78</v>
      </c>
      <c r="C67" s="523" t="s">
        <v>79</v>
      </c>
      <c r="D67" s="903">
        <f t="shared" si="0"/>
        <v>0</v>
      </c>
      <c r="E67" s="904">
        <f t="shared" si="2"/>
        <v>0</v>
      </c>
      <c r="F67" s="159"/>
      <c r="G67" s="160"/>
      <c r="H67" s="903"/>
      <c r="I67" s="62"/>
      <c r="J67" s="62"/>
      <c r="K67" s="903"/>
      <c r="L67" s="62"/>
      <c r="M67" s="62"/>
      <c r="N67" s="161">
        <f t="shared" si="11"/>
        <v>0</v>
      </c>
      <c r="O67" s="162"/>
      <c r="P67" s="138">
        <f t="shared" si="6"/>
        <v>0</v>
      </c>
      <c r="Q67" s="158"/>
      <c r="R67" s="138">
        <f t="shared" si="7"/>
        <v>0</v>
      </c>
      <c r="S67" s="158"/>
      <c r="T67" s="158"/>
      <c r="U67" s="138">
        <f t="shared" si="8"/>
        <v>0</v>
      </c>
      <c r="V67" s="158"/>
      <c r="W67" s="138">
        <f t="shared" si="12"/>
        <v>0</v>
      </c>
      <c r="X67" s="163"/>
    </row>
    <row r="68" spans="1:27" ht="16.5" thickBot="1">
      <c r="A68" s="164"/>
      <c r="B68" s="165"/>
      <c r="C68" s="524" t="s">
        <v>21</v>
      </c>
      <c r="D68" s="903">
        <f t="shared" si="0"/>
        <v>0</v>
      </c>
      <c r="E68" s="904">
        <f t="shared" si="2"/>
        <v>0</v>
      </c>
      <c r="F68" s="167"/>
      <c r="G68" s="168"/>
      <c r="H68" s="903"/>
      <c r="I68" s="62"/>
      <c r="J68" s="62"/>
      <c r="K68" s="903"/>
      <c r="L68" s="62"/>
      <c r="M68" s="62"/>
      <c r="N68" s="143">
        <f t="shared" si="11"/>
        <v>0</v>
      </c>
      <c r="O68" s="169"/>
      <c r="P68" s="121">
        <f t="shared" si="6"/>
        <v>0</v>
      </c>
      <c r="Q68" s="166"/>
      <c r="R68" s="121">
        <f t="shared" si="7"/>
        <v>0</v>
      </c>
      <c r="S68" s="166"/>
      <c r="T68" s="166"/>
      <c r="U68" s="121">
        <f t="shared" si="8"/>
        <v>0</v>
      </c>
      <c r="V68" s="166"/>
      <c r="W68" s="121">
        <f t="shared" si="12"/>
        <v>0</v>
      </c>
      <c r="X68" s="170"/>
    </row>
    <row r="69" spans="1:27" ht="32.25" thickBot="1">
      <c r="A69" s="156">
        <v>21</v>
      </c>
      <c r="B69" s="171" t="s">
        <v>80</v>
      </c>
      <c r="C69" s="523" t="s">
        <v>24</v>
      </c>
      <c r="D69" s="903">
        <f t="shared" si="0"/>
        <v>0</v>
      </c>
      <c r="E69" s="904">
        <f t="shared" si="2"/>
        <v>0</v>
      </c>
      <c r="F69" s="159"/>
      <c r="G69" s="160"/>
      <c r="H69" s="903"/>
      <c r="I69" s="62"/>
      <c r="J69" s="62"/>
      <c r="K69" s="903"/>
      <c r="L69" s="62"/>
      <c r="M69" s="62"/>
      <c r="N69" s="161">
        <f t="shared" si="11"/>
        <v>0</v>
      </c>
      <c r="O69" s="162"/>
      <c r="P69" s="138">
        <f t="shared" si="6"/>
        <v>0</v>
      </c>
      <c r="Q69" s="158"/>
      <c r="R69" s="138">
        <f t="shared" si="7"/>
        <v>0</v>
      </c>
      <c r="S69" s="158"/>
      <c r="T69" s="158"/>
      <c r="U69" s="138">
        <f t="shared" si="8"/>
        <v>0</v>
      </c>
      <c r="V69" s="158"/>
      <c r="W69" s="138">
        <f t="shared" si="12"/>
        <v>0</v>
      </c>
      <c r="X69" s="163"/>
    </row>
    <row r="70" spans="1:27" s="6" customFormat="1" ht="16.5" thickBot="1">
      <c r="A70" s="164"/>
      <c r="B70" s="165"/>
      <c r="C70" s="524" t="s">
        <v>21</v>
      </c>
      <c r="D70" s="903">
        <f t="shared" si="0"/>
        <v>0</v>
      </c>
      <c r="E70" s="904">
        <f t="shared" si="2"/>
        <v>0</v>
      </c>
      <c r="F70" s="167"/>
      <c r="G70" s="168"/>
      <c r="H70" s="903"/>
      <c r="I70" s="62"/>
      <c r="J70" s="62"/>
      <c r="K70" s="903"/>
      <c r="L70" s="62"/>
      <c r="M70" s="62"/>
      <c r="N70" s="143">
        <f t="shared" si="11"/>
        <v>0</v>
      </c>
      <c r="O70" s="169"/>
      <c r="P70" s="121">
        <f t="shared" si="6"/>
        <v>0</v>
      </c>
      <c r="Q70" s="166"/>
      <c r="R70" s="121">
        <f t="shared" si="7"/>
        <v>0</v>
      </c>
      <c r="S70" s="166"/>
      <c r="T70" s="166"/>
      <c r="U70" s="121">
        <f t="shared" si="8"/>
        <v>0</v>
      </c>
      <c r="V70" s="166"/>
      <c r="W70" s="121">
        <f t="shared" si="12"/>
        <v>0</v>
      </c>
      <c r="X70" s="170"/>
    </row>
    <row r="71" spans="1:27" ht="17.25" thickTop="1" thickBot="1">
      <c r="A71" s="556" t="s">
        <v>81</v>
      </c>
      <c r="B71" s="557" t="s">
        <v>82</v>
      </c>
      <c r="C71" s="525" t="s">
        <v>21</v>
      </c>
      <c r="D71" s="903">
        <f>D73+D83+D85</f>
        <v>549.14900000000011</v>
      </c>
      <c r="E71" s="904">
        <f t="shared" si="2"/>
        <v>0</v>
      </c>
      <c r="F71" s="558">
        <f t="shared" ref="F71:X71" si="13">F73+F83+F85</f>
        <v>0</v>
      </c>
      <c r="G71" s="559">
        <f t="shared" si="13"/>
        <v>0</v>
      </c>
      <c r="H71" s="928">
        <f>H73+H83+H85</f>
        <v>502.18100000000004</v>
      </c>
      <c r="I71" s="560">
        <f>I73+I83+I85</f>
        <v>502.18100000000004</v>
      </c>
      <c r="J71" s="560">
        <f>J73+J83+J85</f>
        <v>0</v>
      </c>
      <c r="K71" s="933">
        <f>K73+K83+K85</f>
        <v>46.968000000000004</v>
      </c>
      <c r="L71" s="561">
        <f>L73+L83+L85</f>
        <v>46.968000000000004</v>
      </c>
      <c r="M71" s="561"/>
      <c r="N71" s="558">
        <f t="shared" si="13"/>
        <v>0</v>
      </c>
      <c r="O71" s="558">
        <f t="shared" si="13"/>
        <v>0</v>
      </c>
      <c r="P71" s="558">
        <f t="shared" si="13"/>
        <v>0</v>
      </c>
      <c r="Q71" s="558">
        <f t="shared" si="13"/>
        <v>0</v>
      </c>
      <c r="R71" s="558">
        <f t="shared" si="13"/>
        <v>0</v>
      </c>
      <c r="S71" s="558">
        <f t="shared" si="13"/>
        <v>0</v>
      </c>
      <c r="T71" s="558">
        <f t="shared" si="13"/>
        <v>0</v>
      </c>
      <c r="U71" s="558">
        <f t="shared" si="13"/>
        <v>0</v>
      </c>
      <c r="V71" s="558">
        <f t="shared" si="13"/>
        <v>0</v>
      </c>
      <c r="W71" s="558">
        <f t="shared" si="13"/>
        <v>0</v>
      </c>
      <c r="X71" s="558">
        <f t="shared" si="13"/>
        <v>0</v>
      </c>
      <c r="Y71" s="9"/>
      <c r="Z71" s="9"/>
      <c r="AA71" s="9"/>
    </row>
    <row r="72" spans="1:27" ht="18.75" customHeight="1" thickTop="1" thickBot="1">
      <c r="A72" s="111">
        <v>18</v>
      </c>
      <c r="B72" s="180" t="s">
        <v>83</v>
      </c>
      <c r="C72" s="526" t="s">
        <v>51</v>
      </c>
      <c r="D72" s="903">
        <f>L72+I72</f>
        <v>0.34570000000000006</v>
      </c>
      <c r="E72" s="904">
        <f t="shared" si="2"/>
        <v>0</v>
      </c>
      <c r="F72" s="53">
        <f t="shared" ref="F72:G73" si="14">F74+F76+F78+F80</f>
        <v>0</v>
      </c>
      <c r="G72" s="53">
        <f t="shared" si="14"/>
        <v>0</v>
      </c>
      <c r="H72" s="920">
        <f>H74+H76+H78+H80</f>
        <v>0.33020000000000005</v>
      </c>
      <c r="I72" s="18">
        <f>I74+I76+I78+I80</f>
        <v>0.33020000000000005</v>
      </c>
      <c r="J72" s="18"/>
      <c r="K72" s="920">
        <f>K74+K76+K78+K80</f>
        <v>1.55E-2</v>
      </c>
      <c r="L72" s="18">
        <f>L74+L76+L78+L80</f>
        <v>1.55E-2</v>
      </c>
      <c r="M72" s="18"/>
      <c r="N72" s="54">
        <f t="shared" ref="N72:X73" si="15">N74+N76+N78+N80</f>
        <v>0</v>
      </c>
      <c r="O72" s="53">
        <f t="shared" si="15"/>
        <v>0</v>
      </c>
      <c r="P72" s="53">
        <f t="shared" si="15"/>
        <v>0</v>
      </c>
      <c r="Q72" s="53">
        <f t="shared" si="15"/>
        <v>0</v>
      </c>
      <c r="R72" s="53">
        <f t="shared" si="15"/>
        <v>0</v>
      </c>
      <c r="S72" s="53">
        <f t="shared" si="15"/>
        <v>0</v>
      </c>
      <c r="T72" s="53">
        <f t="shared" si="15"/>
        <v>0</v>
      </c>
      <c r="U72" s="53">
        <f t="shared" si="15"/>
        <v>0</v>
      </c>
      <c r="V72" s="53">
        <f t="shared" si="15"/>
        <v>0</v>
      </c>
      <c r="W72" s="53">
        <f t="shared" si="15"/>
        <v>0</v>
      </c>
      <c r="X72" s="53">
        <f t="shared" si="15"/>
        <v>0</v>
      </c>
      <c r="Y72" s="9"/>
      <c r="Z72" s="9"/>
      <c r="AA72" s="9"/>
    </row>
    <row r="73" spans="1:27" ht="16.5" thickBot="1">
      <c r="A73" s="60"/>
      <c r="B73" s="180" t="s">
        <v>84</v>
      </c>
      <c r="C73" s="527" t="s">
        <v>21</v>
      </c>
      <c r="D73" s="903">
        <f>D75+D77+D79+D81</f>
        <v>415.96400000000006</v>
      </c>
      <c r="E73" s="904">
        <f t="shared" si="2"/>
        <v>0</v>
      </c>
      <c r="F73" s="53">
        <f t="shared" si="14"/>
        <v>0</v>
      </c>
      <c r="G73" s="53">
        <f t="shared" si="14"/>
        <v>0</v>
      </c>
      <c r="H73" s="920">
        <f>H75+H77+H79+H81</f>
        <v>402.21500000000003</v>
      </c>
      <c r="I73" s="18">
        <f>I75+I77+I79+I81</f>
        <v>402.21500000000003</v>
      </c>
      <c r="J73" s="18"/>
      <c r="K73" s="920">
        <f>K75+K77+K79+K81</f>
        <v>13.748999999999999</v>
      </c>
      <c r="L73" s="18">
        <f>L75+L77+L79+L81</f>
        <v>13.748999999999999</v>
      </c>
      <c r="M73" s="18"/>
      <c r="N73" s="54">
        <f t="shared" si="15"/>
        <v>0</v>
      </c>
      <c r="O73" s="53">
        <f t="shared" si="15"/>
        <v>0</v>
      </c>
      <c r="P73" s="53">
        <f t="shared" si="15"/>
        <v>0</v>
      </c>
      <c r="Q73" s="53">
        <f t="shared" si="15"/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  <c r="X73" s="53">
        <f t="shared" si="15"/>
        <v>0</v>
      </c>
      <c r="Y73" s="9"/>
      <c r="Z73" s="9"/>
      <c r="AA73" s="9"/>
    </row>
    <row r="74" spans="1:27" ht="16.5" thickBot="1">
      <c r="A74" s="183" t="s">
        <v>85</v>
      </c>
      <c r="B74" s="184" t="s">
        <v>86</v>
      </c>
      <c r="C74" s="527" t="s">
        <v>87</v>
      </c>
      <c r="D74" s="903">
        <f t="shared" ref="D74:D85" si="16">I74+L74</f>
        <v>3.0000000000000001E-3</v>
      </c>
      <c r="E74" s="904">
        <f t="shared" si="2"/>
        <v>0</v>
      </c>
      <c r="F74" s="62"/>
      <c r="G74" s="62"/>
      <c r="H74" s="929">
        <f>0.002</f>
        <v>2E-3</v>
      </c>
      <c r="I74" s="20">
        <f>0.002</f>
        <v>2E-3</v>
      </c>
      <c r="J74" s="20"/>
      <c r="K74" s="929">
        <f>0.0002+0.0008</f>
        <v>1E-3</v>
      </c>
      <c r="L74" s="20">
        <f>0.0002+0.0008</f>
        <v>1E-3</v>
      </c>
      <c r="M74" s="20"/>
      <c r="N74" s="59">
        <f t="shared" ref="N74:N85" si="17">O74</f>
        <v>0</v>
      </c>
      <c r="O74" s="64"/>
      <c r="P74" s="57">
        <f t="shared" ref="P74:P85" si="18">Q74</f>
        <v>0</v>
      </c>
      <c r="Q74" s="57"/>
      <c r="R74" s="57">
        <f t="shared" ref="R74:R85" si="19">S74+T74</f>
        <v>0</v>
      </c>
      <c r="S74" s="57"/>
      <c r="T74" s="57"/>
      <c r="U74" s="57">
        <f t="shared" ref="U74:U85" si="20">V74</f>
        <v>0</v>
      </c>
      <c r="V74" s="57"/>
      <c r="W74" s="57">
        <f t="shared" ref="W74:W85" si="21">X74</f>
        <v>0</v>
      </c>
      <c r="X74" s="57"/>
      <c r="Y74" s="9"/>
      <c r="Z74" s="9"/>
      <c r="AA74" s="9"/>
    </row>
    <row r="75" spans="1:27" ht="16.5" thickBot="1">
      <c r="A75" s="67"/>
      <c r="B75" s="184"/>
      <c r="C75" s="527" t="s">
        <v>21</v>
      </c>
      <c r="D75" s="903">
        <f t="shared" si="16"/>
        <v>5.4950000000000001</v>
      </c>
      <c r="E75" s="904">
        <f t="shared" si="2"/>
        <v>0</v>
      </c>
      <c r="F75" s="62"/>
      <c r="G75" s="62"/>
      <c r="H75" s="929">
        <f>0.54+0.125+0.301+2.018</f>
        <v>2.984</v>
      </c>
      <c r="I75" s="20">
        <f>0.54+0.125+0.301+2.018</f>
        <v>2.984</v>
      </c>
      <c r="J75" s="20"/>
      <c r="K75" s="929">
        <f>0.54+1.971</f>
        <v>2.5110000000000001</v>
      </c>
      <c r="L75" s="20">
        <f>0.54+1.971</f>
        <v>2.5110000000000001</v>
      </c>
      <c r="M75" s="20"/>
      <c r="N75" s="59">
        <f t="shared" si="17"/>
        <v>0</v>
      </c>
      <c r="O75" s="64"/>
      <c r="P75" s="57">
        <f t="shared" si="18"/>
        <v>0</v>
      </c>
      <c r="Q75" s="57"/>
      <c r="R75" s="57">
        <f t="shared" si="19"/>
        <v>0</v>
      </c>
      <c r="S75" s="57"/>
      <c r="T75" s="57"/>
      <c r="U75" s="57">
        <f t="shared" si="20"/>
        <v>0</v>
      </c>
      <c r="V75" s="57"/>
      <c r="W75" s="57">
        <f t="shared" si="21"/>
        <v>0</v>
      </c>
      <c r="X75" s="57"/>
      <c r="Y75" s="9"/>
      <c r="Z75" s="9"/>
      <c r="AA75" s="9"/>
    </row>
    <row r="76" spans="1:27" ht="16.5" thickBot="1">
      <c r="A76" s="183" t="s">
        <v>88</v>
      </c>
      <c r="B76" s="184" t="s">
        <v>89</v>
      </c>
      <c r="C76" s="527" t="s">
        <v>51</v>
      </c>
      <c r="D76" s="903">
        <f t="shared" si="16"/>
        <v>9.7200000000000022E-2</v>
      </c>
      <c r="E76" s="904">
        <f t="shared" si="2"/>
        <v>0</v>
      </c>
      <c r="F76" s="62"/>
      <c r="G76" s="62"/>
      <c r="H76" s="929">
        <f>0.003+0.005+0.041+0.0002+0.012+0.002+0.007+0.002+0.004+0.004+0.006</f>
        <v>8.6200000000000027E-2</v>
      </c>
      <c r="I76" s="20">
        <f>0.003+0.005+0.041+0.0002+0.012+0.002+0.007+0.002+0.004+0.004+0.006</f>
        <v>8.6200000000000027E-2</v>
      </c>
      <c r="J76" s="20"/>
      <c r="K76" s="929">
        <f>0.009+0.002</f>
        <v>1.0999999999999999E-2</v>
      </c>
      <c r="L76" s="20">
        <f>0.009+0.002</f>
        <v>1.0999999999999999E-2</v>
      </c>
      <c r="M76" s="20"/>
      <c r="N76" s="59">
        <f t="shared" si="17"/>
        <v>0</v>
      </c>
      <c r="O76" s="64"/>
      <c r="P76" s="57">
        <f t="shared" si="18"/>
        <v>0</v>
      </c>
      <c r="Q76" s="57"/>
      <c r="R76" s="57">
        <f t="shared" si="19"/>
        <v>0</v>
      </c>
      <c r="S76" s="57"/>
      <c r="T76" s="57"/>
      <c r="U76" s="57">
        <f t="shared" si="20"/>
        <v>0</v>
      </c>
      <c r="V76" s="57"/>
      <c r="W76" s="57">
        <f t="shared" si="21"/>
        <v>0</v>
      </c>
      <c r="X76" s="57"/>
      <c r="Y76" s="9"/>
      <c r="Z76" s="9"/>
      <c r="AA76" s="9"/>
    </row>
    <row r="77" spans="1:27" ht="16.5" thickBot="1">
      <c r="A77" s="67"/>
      <c r="B77" s="184"/>
      <c r="C77" s="527" t="s">
        <v>21</v>
      </c>
      <c r="D77" s="903">
        <f t="shared" si="16"/>
        <v>79.476000000000013</v>
      </c>
      <c r="E77" s="904">
        <f t="shared" si="2"/>
        <v>0</v>
      </c>
      <c r="F77" s="62"/>
      <c r="G77" s="62"/>
      <c r="H77" s="929">
        <f>1.947+3.246+41.637+9.138+0.301+0.199+6.876+1.766+2.62+4.054+0.54</f>
        <v>72.324000000000012</v>
      </c>
      <c r="I77" s="20">
        <f>1.947+3.246+41.637+9.138+0.301+0.199+6.876+1.766+2.62+4.054+0.54</f>
        <v>72.324000000000012</v>
      </c>
      <c r="J77" s="20"/>
      <c r="K77" s="934">
        <f>5.83+1.322</f>
        <v>7.1520000000000001</v>
      </c>
      <c r="L77" s="516">
        <f>5.83+1.322</f>
        <v>7.1520000000000001</v>
      </c>
      <c r="M77" s="20"/>
      <c r="N77" s="59">
        <f t="shared" si="17"/>
        <v>0</v>
      </c>
      <c r="O77" s="64"/>
      <c r="P77" s="57">
        <f t="shared" si="18"/>
        <v>0</v>
      </c>
      <c r="Q77" s="57"/>
      <c r="R77" s="57">
        <f t="shared" si="19"/>
        <v>0</v>
      </c>
      <c r="S77" s="57"/>
      <c r="T77" s="57"/>
      <c r="U77" s="57">
        <f t="shared" si="20"/>
        <v>0</v>
      </c>
      <c r="V77" s="57"/>
      <c r="W77" s="57">
        <f t="shared" si="21"/>
        <v>0</v>
      </c>
      <c r="X77" s="57"/>
      <c r="Y77" s="9"/>
      <c r="Z77" s="9"/>
      <c r="AA77" s="9"/>
    </row>
    <row r="78" spans="1:27" ht="16.5" thickBot="1">
      <c r="A78" s="183" t="s">
        <v>90</v>
      </c>
      <c r="B78" s="184" t="s">
        <v>91</v>
      </c>
      <c r="C78" s="527" t="s">
        <v>51</v>
      </c>
      <c r="D78" s="903">
        <f t="shared" si="16"/>
        <v>5.6000000000000001E-2</v>
      </c>
      <c r="E78" s="904">
        <f t="shared" ref="E78:E96" si="22">F78+G78</f>
        <v>0</v>
      </c>
      <c r="F78" s="62"/>
      <c r="G78" s="62"/>
      <c r="H78" s="929">
        <f>0.015+0.025+0.0045+0.01</f>
        <v>5.45E-2</v>
      </c>
      <c r="I78" s="20">
        <f>0.015+0.025+0.0045+0.01</f>
        <v>5.45E-2</v>
      </c>
      <c r="J78" s="20"/>
      <c r="K78" s="929">
        <f>0.0015</f>
        <v>1.5E-3</v>
      </c>
      <c r="L78" s="20">
        <f>0.0015</f>
        <v>1.5E-3</v>
      </c>
      <c r="M78" s="20"/>
      <c r="N78" s="59">
        <f t="shared" si="17"/>
        <v>0</v>
      </c>
      <c r="O78" s="64"/>
      <c r="P78" s="57">
        <f t="shared" si="18"/>
        <v>0</v>
      </c>
      <c r="Q78" s="57"/>
      <c r="R78" s="57">
        <f t="shared" si="19"/>
        <v>0</v>
      </c>
      <c r="S78" s="57"/>
      <c r="T78" s="57"/>
      <c r="U78" s="57">
        <f t="shared" si="20"/>
        <v>0</v>
      </c>
      <c r="V78" s="57"/>
      <c r="W78" s="57">
        <f t="shared" si="21"/>
        <v>0</v>
      </c>
      <c r="X78" s="57"/>
      <c r="Y78" s="9"/>
      <c r="Z78" s="9"/>
      <c r="AA78" s="9"/>
    </row>
    <row r="79" spans="1:27" ht="16.5" thickBot="1">
      <c r="A79" s="67"/>
      <c r="B79" s="184"/>
      <c r="C79" s="527" t="s">
        <v>21</v>
      </c>
      <c r="D79" s="903">
        <f t="shared" si="16"/>
        <v>46.097000000000001</v>
      </c>
      <c r="E79" s="904">
        <f t="shared" si="22"/>
        <v>0</v>
      </c>
      <c r="F79" s="62"/>
      <c r="G79" s="62"/>
      <c r="H79" s="929">
        <v>45.237000000000002</v>
      </c>
      <c r="I79" s="20">
        <v>45.237000000000002</v>
      </c>
      <c r="J79" s="20"/>
      <c r="K79" s="929">
        <f>0.86</f>
        <v>0.86</v>
      </c>
      <c r="L79" s="20">
        <f>0.86</f>
        <v>0.86</v>
      </c>
      <c r="M79" s="20"/>
      <c r="N79" s="59">
        <f t="shared" si="17"/>
        <v>0</v>
      </c>
      <c r="O79" s="64"/>
      <c r="P79" s="57">
        <f t="shared" si="18"/>
        <v>0</v>
      </c>
      <c r="Q79" s="57"/>
      <c r="R79" s="57">
        <f t="shared" si="19"/>
        <v>0</v>
      </c>
      <c r="S79" s="57"/>
      <c r="T79" s="57"/>
      <c r="U79" s="57">
        <f t="shared" si="20"/>
        <v>0</v>
      </c>
      <c r="V79" s="57"/>
      <c r="W79" s="57">
        <f t="shared" si="21"/>
        <v>0</v>
      </c>
      <c r="X79" s="57"/>
      <c r="Y79" s="9"/>
      <c r="Z79" s="9"/>
      <c r="AA79" s="9"/>
    </row>
    <row r="80" spans="1:27" ht="16.5" thickBot="1">
      <c r="A80" s="183" t="s">
        <v>92</v>
      </c>
      <c r="B80" s="184" t="s">
        <v>93</v>
      </c>
      <c r="C80" s="527" t="s">
        <v>51</v>
      </c>
      <c r="D80" s="903">
        <f t="shared" si="16"/>
        <v>0.18950000000000003</v>
      </c>
      <c r="E80" s="904">
        <f t="shared" si="22"/>
        <v>0</v>
      </c>
      <c r="F80" s="62"/>
      <c r="G80" s="62"/>
      <c r="H80" s="929">
        <f>0.002+0.006+0.031+0.002+0.003+0.0025+0.001+0.001+0.002+0.001+0.124+0.004+0.008</f>
        <v>0.18750000000000003</v>
      </c>
      <c r="I80" s="20">
        <f>0.002+0.006+0.031+0.002+0.003+0.0025+0.001+0.001+0.002+0.001+0.124+0.004+0.008</f>
        <v>0.18750000000000003</v>
      </c>
      <c r="J80" s="20"/>
      <c r="K80" s="929">
        <f>0.002</f>
        <v>2E-3</v>
      </c>
      <c r="L80" s="20">
        <f>0.002</f>
        <v>2E-3</v>
      </c>
      <c r="M80" s="20"/>
      <c r="N80" s="59">
        <f t="shared" si="17"/>
        <v>0</v>
      </c>
      <c r="O80" s="64"/>
      <c r="P80" s="57">
        <f t="shared" si="18"/>
        <v>0</v>
      </c>
      <c r="Q80" s="57"/>
      <c r="R80" s="57">
        <f t="shared" si="19"/>
        <v>0</v>
      </c>
      <c r="S80" s="57"/>
      <c r="T80" s="57"/>
      <c r="U80" s="57">
        <f t="shared" si="20"/>
        <v>0</v>
      </c>
      <c r="V80" s="57"/>
      <c r="W80" s="57">
        <f t="shared" si="21"/>
        <v>0</v>
      </c>
      <c r="X80" s="57"/>
      <c r="Y80" s="9"/>
      <c r="Z80" s="9"/>
      <c r="AA80" s="9"/>
    </row>
    <row r="81" spans="1:27" ht="16.5" thickBot="1">
      <c r="A81" s="149"/>
      <c r="B81" s="186"/>
      <c r="C81" s="528" t="s">
        <v>21</v>
      </c>
      <c r="D81" s="903">
        <f t="shared" si="16"/>
        <v>284.89600000000002</v>
      </c>
      <c r="E81" s="904">
        <f t="shared" si="22"/>
        <v>0</v>
      </c>
      <c r="F81" s="62"/>
      <c r="G81" s="62"/>
      <c r="H81" s="929">
        <f>66.651+3.578+4.424+3.848+0.48+1.612+2.021+3.207+1.755+174.782+6.45+12.862</f>
        <v>281.67</v>
      </c>
      <c r="I81" s="20">
        <f>66.651+3.578+4.424+3.848+0.48+1.612+2.021+3.207+1.755+174.782+6.45+12.862</f>
        <v>281.67</v>
      </c>
      <c r="J81" s="20"/>
      <c r="K81" s="929">
        <f>3.226</f>
        <v>3.226</v>
      </c>
      <c r="L81" s="20">
        <f>3.226</f>
        <v>3.226</v>
      </c>
      <c r="M81" s="20"/>
      <c r="N81" s="59">
        <f t="shared" si="17"/>
        <v>0</v>
      </c>
      <c r="O81" s="120"/>
      <c r="P81" s="57">
        <f t="shared" si="18"/>
        <v>0</v>
      </c>
      <c r="Q81" s="72"/>
      <c r="R81" s="57">
        <f t="shared" si="19"/>
        <v>0</v>
      </c>
      <c r="S81" s="72"/>
      <c r="T81" s="72"/>
      <c r="U81" s="57">
        <f t="shared" si="20"/>
        <v>0</v>
      </c>
      <c r="V81" s="72"/>
      <c r="W81" s="57">
        <f t="shared" si="21"/>
        <v>0</v>
      </c>
      <c r="X81" s="72"/>
      <c r="Y81" s="9"/>
      <c r="Z81" s="9"/>
      <c r="AA81" s="9"/>
    </row>
    <row r="82" spans="1:27" ht="16.5" thickBot="1">
      <c r="A82" s="113">
        <v>19</v>
      </c>
      <c r="B82" s="188" t="s">
        <v>94</v>
      </c>
      <c r="C82" s="529" t="s">
        <v>47</v>
      </c>
      <c r="D82" s="903">
        <f t="shared" si="16"/>
        <v>2</v>
      </c>
      <c r="E82" s="904">
        <f t="shared" si="22"/>
        <v>0</v>
      </c>
      <c r="F82" s="62"/>
      <c r="G82" s="62"/>
      <c r="H82" s="929">
        <f>1+1</f>
        <v>2</v>
      </c>
      <c r="I82" s="20">
        <f>1+1</f>
        <v>2</v>
      </c>
      <c r="J82" s="20"/>
      <c r="K82" s="929"/>
      <c r="L82" s="20"/>
      <c r="M82" s="20"/>
      <c r="N82" s="59">
        <f t="shared" si="17"/>
        <v>0</v>
      </c>
      <c r="O82" s="137"/>
      <c r="P82" s="57">
        <f t="shared" si="18"/>
        <v>0</v>
      </c>
      <c r="Q82" s="123"/>
      <c r="R82" s="57">
        <f t="shared" si="19"/>
        <v>0</v>
      </c>
      <c r="S82" s="123"/>
      <c r="T82" s="123"/>
      <c r="U82" s="57">
        <f t="shared" si="20"/>
        <v>0</v>
      </c>
      <c r="V82" s="123"/>
      <c r="W82" s="57">
        <f t="shared" si="21"/>
        <v>0</v>
      </c>
      <c r="X82" s="123"/>
      <c r="Y82" s="9"/>
      <c r="Z82" s="9"/>
      <c r="AA82" s="9"/>
    </row>
    <row r="83" spans="1:27" ht="16.5" thickBot="1">
      <c r="A83" s="149"/>
      <c r="B83" s="186"/>
      <c r="C83" s="530" t="s">
        <v>21</v>
      </c>
      <c r="D83" s="903">
        <f t="shared" si="16"/>
        <v>11.459</v>
      </c>
      <c r="E83" s="904">
        <f t="shared" si="22"/>
        <v>0</v>
      </c>
      <c r="F83" s="62"/>
      <c r="G83" s="62"/>
      <c r="H83" s="929">
        <f>5.278+6.181</f>
        <v>11.459</v>
      </c>
      <c r="I83" s="20">
        <f>5.278+6.181</f>
        <v>11.459</v>
      </c>
      <c r="J83" s="20"/>
      <c r="K83" s="929"/>
      <c r="L83" s="20"/>
      <c r="M83" s="20"/>
      <c r="N83" s="59">
        <f t="shared" si="17"/>
        <v>0</v>
      </c>
      <c r="O83" s="120"/>
      <c r="P83" s="57">
        <f t="shared" si="18"/>
        <v>0</v>
      </c>
      <c r="Q83" s="121"/>
      <c r="R83" s="57">
        <f t="shared" si="19"/>
        <v>0</v>
      </c>
      <c r="S83" s="121"/>
      <c r="T83" s="121"/>
      <c r="U83" s="57">
        <f t="shared" si="20"/>
        <v>0</v>
      </c>
      <c r="V83" s="121"/>
      <c r="W83" s="57">
        <f t="shared" si="21"/>
        <v>0</v>
      </c>
      <c r="X83" s="121"/>
      <c r="Y83" s="9"/>
      <c r="Z83" s="9"/>
      <c r="AA83" s="9"/>
    </row>
    <row r="84" spans="1:27" ht="16.5" thickBot="1">
      <c r="A84" s="191" t="s">
        <v>95</v>
      </c>
      <c r="B84" s="188" t="s">
        <v>197</v>
      </c>
      <c r="C84" s="529" t="s">
        <v>47</v>
      </c>
      <c r="D84" s="903">
        <f t="shared" si="16"/>
        <v>50</v>
      </c>
      <c r="E84" s="904">
        <f t="shared" si="22"/>
        <v>0</v>
      </c>
      <c r="F84" s="62"/>
      <c r="G84" s="62"/>
      <c r="H84" s="929">
        <v>41</v>
      </c>
      <c r="I84" s="20">
        <v>41</v>
      </c>
      <c r="J84" s="20"/>
      <c r="K84" s="929">
        <f>1+1+3+4</f>
        <v>9</v>
      </c>
      <c r="L84" s="20">
        <f>1+1+3+4</f>
        <v>9</v>
      </c>
      <c r="M84" s="20"/>
      <c r="N84" s="59">
        <f t="shared" si="17"/>
        <v>0</v>
      </c>
      <c r="O84" s="137"/>
      <c r="P84" s="57">
        <f t="shared" si="18"/>
        <v>0</v>
      </c>
      <c r="Q84" s="123"/>
      <c r="R84" s="57">
        <f t="shared" si="19"/>
        <v>0</v>
      </c>
      <c r="S84" s="123"/>
      <c r="T84" s="123"/>
      <c r="U84" s="57">
        <f t="shared" si="20"/>
        <v>0</v>
      </c>
      <c r="V84" s="123"/>
      <c r="W84" s="57">
        <f t="shared" si="21"/>
        <v>0</v>
      </c>
      <c r="X84" s="123"/>
      <c r="Y84" s="9"/>
      <c r="Z84" s="9"/>
      <c r="AA84" s="9"/>
    </row>
    <row r="85" spans="1:27" ht="16.5" thickBot="1">
      <c r="A85" s="192"/>
      <c r="B85" s="193" t="s">
        <v>97</v>
      </c>
      <c r="C85" s="530" t="s">
        <v>21</v>
      </c>
      <c r="D85" s="903">
        <f t="shared" si="16"/>
        <v>121.726</v>
      </c>
      <c r="E85" s="904">
        <f t="shared" si="22"/>
        <v>0</v>
      </c>
      <c r="F85" s="62"/>
      <c r="G85" s="62"/>
      <c r="H85" s="929">
        <v>88.507000000000005</v>
      </c>
      <c r="I85" s="20">
        <v>88.507000000000005</v>
      </c>
      <c r="J85" s="20"/>
      <c r="K85" s="929">
        <f>0.664+16.144+16.411</f>
        <v>33.219000000000001</v>
      </c>
      <c r="L85" s="20">
        <f>0.664+16.144+16.411</f>
        <v>33.219000000000001</v>
      </c>
      <c r="M85" s="20"/>
      <c r="N85" s="59">
        <f t="shared" si="17"/>
        <v>0</v>
      </c>
      <c r="O85" s="120"/>
      <c r="P85" s="57">
        <f t="shared" si="18"/>
        <v>0</v>
      </c>
      <c r="Q85" s="121"/>
      <c r="R85" s="57">
        <f t="shared" si="19"/>
        <v>0</v>
      </c>
      <c r="S85" s="121"/>
      <c r="T85" s="121"/>
      <c r="U85" s="57">
        <f t="shared" si="20"/>
        <v>0</v>
      </c>
      <c r="V85" s="121"/>
      <c r="W85" s="57">
        <f t="shared" si="21"/>
        <v>0</v>
      </c>
      <c r="X85" s="121"/>
      <c r="Y85" s="9"/>
      <c r="Z85" s="9"/>
      <c r="AA85" s="9"/>
    </row>
    <row r="86" spans="1:27" ht="17.25" thickTop="1" thickBot="1">
      <c r="A86" s="531" t="s">
        <v>98</v>
      </c>
      <c r="B86" s="557" t="s">
        <v>99</v>
      </c>
      <c r="C86" s="531" t="s">
        <v>21</v>
      </c>
      <c r="D86" s="903">
        <f t="shared" ref="D86:D95" si="23">H86+K86</f>
        <v>0</v>
      </c>
      <c r="E86" s="904">
        <f t="shared" si="22"/>
        <v>0</v>
      </c>
      <c r="F86" s="558">
        <f t="shared" ref="F86:X86" si="24">F88+F90+F92</f>
        <v>0</v>
      </c>
      <c r="G86" s="558">
        <f t="shared" si="24"/>
        <v>0</v>
      </c>
      <c r="H86" s="903"/>
      <c r="I86" s="564"/>
      <c r="J86" s="564">
        <f t="shared" si="24"/>
        <v>0</v>
      </c>
      <c r="K86" s="903"/>
      <c r="L86" s="564"/>
      <c r="M86" s="564"/>
      <c r="N86" s="558">
        <f t="shared" si="24"/>
        <v>0</v>
      </c>
      <c r="O86" s="558">
        <f t="shared" si="24"/>
        <v>0</v>
      </c>
      <c r="P86" s="558">
        <f t="shared" si="24"/>
        <v>0</v>
      </c>
      <c r="Q86" s="558">
        <f t="shared" si="24"/>
        <v>0</v>
      </c>
      <c r="R86" s="558">
        <f t="shared" si="24"/>
        <v>0</v>
      </c>
      <c r="S86" s="558">
        <f t="shared" si="24"/>
        <v>0</v>
      </c>
      <c r="T86" s="558">
        <f t="shared" si="24"/>
        <v>0</v>
      </c>
      <c r="U86" s="558">
        <f t="shared" si="24"/>
        <v>0</v>
      </c>
      <c r="V86" s="558">
        <f t="shared" si="24"/>
        <v>0</v>
      </c>
      <c r="W86" s="558">
        <f t="shared" si="24"/>
        <v>0</v>
      </c>
      <c r="X86" s="558">
        <f t="shared" si="24"/>
        <v>0</v>
      </c>
    </row>
    <row r="87" spans="1:27" ht="17.25" thickTop="1" thickBot="1">
      <c r="A87" s="153">
        <v>20</v>
      </c>
      <c r="B87" s="3" t="s">
        <v>100</v>
      </c>
      <c r="C87" s="523" t="s">
        <v>51</v>
      </c>
      <c r="D87" s="903">
        <f t="shared" si="23"/>
        <v>0</v>
      </c>
      <c r="E87" s="904">
        <f t="shared" si="22"/>
        <v>0</v>
      </c>
      <c r="F87" s="62"/>
      <c r="G87" s="62"/>
      <c r="H87" s="903"/>
      <c r="I87" s="196"/>
      <c r="J87" s="197"/>
      <c r="K87" s="903"/>
      <c r="L87" s="62"/>
      <c r="M87" s="62"/>
      <c r="N87" s="57">
        <f t="shared" ref="N87:N92" si="25">O87</f>
        <v>0</v>
      </c>
      <c r="O87" s="189"/>
      <c r="P87" s="57">
        <f t="shared" ref="P87:P92" si="26">Q87</f>
        <v>0</v>
      </c>
      <c r="Q87" s="123"/>
      <c r="R87" s="57">
        <f t="shared" ref="R87:R92" si="27">S87+T87</f>
        <v>0</v>
      </c>
      <c r="S87" s="123"/>
      <c r="T87" s="123"/>
      <c r="U87" s="57">
        <f t="shared" ref="U87:U92" si="28">V87</f>
        <v>0</v>
      </c>
      <c r="V87" s="123"/>
      <c r="W87" s="57">
        <f t="shared" ref="W87:W92" si="29">X87</f>
        <v>0</v>
      </c>
      <c r="X87" s="123"/>
    </row>
    <row r="88" spans="1:27" ht="16.5" thickBot="1">
      <c r="A88" s="198"/>
      <c r="B88" s="199" t="s">
        <v>101</v>
      </c>
      <c r="C88" s="524" t="s">
        <v>21</v>
      </c>
      <c r="D88" s="903">
        <f t="shared" si="23"/>
        <v>0</v>
      </c>
      <c r="E88" s="904">
        <f t="shared" si="22"/>
        <v>0</v>
      </c>
      <c r="F88" s="62"/>
      <c r="G88" s="62"/>
      <c r="H88" s="903"/>
      <c r="I88" s="196"/>
      <c r="J88" s="197"/>
      <c r="K88" s="903"/>
      <c r="L88" s="62"/>
      <c r="M88" s="62"/>
      <c r="N88" s="57">
        <f t="shared" si="25"/>
        <v>0</v>
      </c>
      <c r="O88" s="190"/>
      <c r="P88" s="57">
        <f t="shared" si="26"/>
        <v>0</v>
      </c>
      <c r="Q88" s="121"/>
      <c r="R88" s="57">
        <f t="shared" si="27"/>
        <v>0</v>
      </c>
      <c r="S88" s="121"/>
      <c r="T88" s="121"/>
      <c r="U88" s="57">
        <f t="shared" si="28"/>
        <v>0</v>
      </c>
      <c r="V88" s="121"/>
      <c r="W88" s="57">
        <f t="shared" si="29"/>
        <v>0</v>
      </c>
      <c r="X88" s="121"/>
    </row>
    <row r="89" spans="1:27" ht="16.5" thickBot="1">
      <c r="A89" s="111">
        <v>21</v>
      </c>
      <c r="B89" s="1" t="s">
        <v>102</v>
      </c>
      <c r="C89" s="518" t="s">
        <v>47</v>
      </c>
      <c r="D89" s="903">
        <f t="shared" si="23"/>
        <v>0</v>
      </c>
      <c r="E89" s="904">
        <f t="shared" si="22"/>
        <v>0</v>
      </c>
      <c r="F89" s="62"/>
      <c r="G89" s="62"/>
      <c r="H89" s="903"/>
      <c r="I89" s="196"/>
      <c r="K89" s="903"/>
      <c r="L89" s="62"/>
      <c r="M89" s="62"/>
      <c r="N89" s="57">
        <f t="shared" si="25"/>
        <v>0</v>
      </c>
      <c r="O89" s="200"/>
      <c r="P89" s="57">
        <f t="shared" si="26"/>
        <v>0</v>
      </c>
      <c r="Q89" s="53"/>
      <c r="R89" s="57">
        <f t="shared" si="27"/>
        <v>0</v>
      </c>
      <c r="S89" s="53"/>
      <c r="T89" s="53"/>
      <c r="U89" s="57">
        <f t="shared" si="28"/>
        <v>0</v>
      </c>
      <c r="V89" s="53"/>
      <c r="W89" s="57">
        <f t="shared" si="29"/>
        <v>0</v>
      </c>
      <c r="X89" s="53"/>
    </row>
    <row r="90" spans="1:27" ht="16.5" thickBot="1">
      <c r="A90" s="201"/>
      <c r="B90" s="2" t="s">
        <v>103</v>
      </c>
      <c r="C90" s="93" t="s">
        <v>21</v>
      </c>
      <c r="D90" s="903">
        <f t="shared" si="23"/>
        <v>0</v>
      </c>
      <c r="E90" s="904">
        <f t="shared" si="22"/>
        <v>0</v>
      </c>
      <c r="F90" s="62"/>
      <c r="G90" s="62"/>
      <c r="H90" s="903"/>
      <c r="I90" s="196"/>
      <c r="J90" s="197"/>
      <c r="K90" s="903"/>
      <c r="L90" s="62"/>
      <c r="M90" s="62"/>
      <c r="N90" s="57">
        <f t="shared" si="25"/>
        <v>0</v>
      </c>
      <c r="O90" s="202"/>
      <c r="P90" s="57">
        <f t="shared" si="26"/>
        <v>0</v>
      </c>
      <c r="Q90" s="121"/>
      <c r="R90" s="57">
        <f t="shared" si="27"/>
        <v>0</v>
      </c>
      <c r="S90" s="121"/>
      <c r="T90" s="121"/>
      <c r="U90" s="57">
        <f t="shared" si="28"/>
        <v>0</v>
      </c>
      <c r="V90" s="121"/>
      <c r="W90" s="57">
        <f t="shared" si="29"/>
        <v>0</v>
      </c>
      <c r="X90" s="121"/>
    </row>
    <row r="91" spans="1:27" ht="16.5" thickBot="1">
      <c r="A91" s="115" t="s">
        <v>104</v>
      </c>
      <c r="B91" s="3" t="s">
        <v>105</v>
      </c>
      <c r="C91" s="523" t="s">
        <v>47</v>
      </c>
      <c r="D91" s="903">
        <f t="shared" si="23"/>
        <v>0</v>
      </c>
      <c r="E91" s="904">
        <f t="shared" si="22"/>
        <v>0</v>
      </c>
      <c r="F91" s="62"/>
      <c r="G91" s="62"/>
      <c r="H91" s="903"/>
      <c r="I91" s="196"/>
      <c r="J91" s="197"/>
      <c r="K91" s="903"/>
      <c r="L91" s="62"/>
      <c r="M91" s="62"/>
      <c r="N91" s="57">
        <f t="shared" si="25"/>
        <v>0</v>
      </c>
      <c r="O91" s="122"/>
      <c r="P91" s="57">
        <f t="shared" si="26"/>
        <v>0</v>
      </c>
      <c r="Q91" s="123"/>
      <c r="R91" s="57">
        <f t="shared" si="27"/>
        <v>0</v>
      </c>
      <c r="S91" s="123"/>
      <c r="T91" s="123"/>
      <c r="U91" s="57">
        <f t="shared" si="28"/>
        <v>0</v>
      </c>
      <c r="V91" s="123"/>
      <c r="W91" s="57">
        <f t="shared" si="29"/>
        <v>0</v>
      </c>
      <c r="X91" s="123"/>
    </row>
    <row r="92" spans="1:27" ht="16.5" thickBot="1">
      <c r="A92" s="128"/>
      <c r="B92" s="4"/>
      <c r="C92" s="84" t="s">
        <v>21</v>
      </c>
      <c r="D92" s="903">
        <f t="shared" si="23"/>
        <v>0</v>
      </c>
      <c r="E92" s="904">
        <f t="shared" si="22"/>
        <v>0</v>
      </c>
      <c r="F92" s="62"/>
      <c r="G92" s="62"/>
      <c r="H92" s="903"/>
      <c r="I92" s="196"/>
      <c r="J92" s="197"/>
      <c r="K92" s="903"/>
      <c r="L92" s="62"/>
      <c r="M92" s="62"/>
      <c r="N92" s="57">
        <f t="shared" si="25"/>
        <v>0</v>
      </c>
      <c r="O92" s="116"/>
      <c r="P92" s="57">
        <f t="shared" si="26"/>
        <v>0</v>
      </c>
      <c r="Q92" s="121"/>
      <c r="R92" s="57">
        <f t="shared" si="27"/>
        <v>0</v>
      </c>
      <c r="S92" s="121"/>
      <c r="T92" s="121"/>
      <c r="U92" s="57">
        <f t="shared" si="28"/>
        <v>0</v>
      </c>
      <c r="V92" s="121"/>
      <c r="W92" s="57">
        <f t="shared" si="29"/>
        <v>0</v>
      </c>
      <c r="X92" s="121"/>
    </row>
    <row r="93" spans="1:27" ht="38.25" customHeight="1" thickTop="1" thickBot="1">
      <c r="A93" s="532" t="s">
        <v>106</v>
      </c>
      <c r="B93" s="562" t="s">
        <v>107</v>
      </c>
      <c r="C93" s="532" t="s">
        <v>21</v>
      </c>
      <c r="D93" s="903">
        <f>I93+L93</f>
        <v>58.667999999999999</v>
      </c>
      <c r="E93" s="904">
        <f t="shared" si="22"/>
        <v>0</v>
      </c>
      <c r="F93" s="563">
        <f t="shared" ref="F93:X93" si="30">F94+F95</f>
        <v>0</v>
      </c>
      <c r="G93" s="563">
        <f t="shared" si="30"/>
        <v>0</v>
      </c>
      <c r="H93" s="903"/>
      <c r="I93" s="563">
        <f>I96+L96</f>
        <v>58.667999999999999</v>
      </c>
      <c r="J93" s="563">
        <f t="shared" si="30"/>
        <v>0</v>
      </c>
      <c r="K93" s="903"/>
      <c r="L93" s="563"/>
      <c r="M93" s="563"/>
      <c r="N93" s="563">
        <f t="shared" si="30"/>
        <v>0</v>
      </c>
      <c r="O93" s="563">
        <f t="shared" si="30"/>
        <v>0</v>
      </c>
      <c r="P93" s="563">
        <f t="shared" si="30"/>
        <v>0</v>
      </c>
      <c r="Q93" s="563">
        <f t="shared" si="30"/>
        <v>0</v>
      </c>
      <c r="R93" s="563">
        <f t="shared" si="30"/>
        <v>0</v>
      </c>
      <c r="S93" s="563">
        <f t="shared" si="30"/>
        <v>0</v>
      </c>
      <c r="T93" s="563">
        <f t="shared" si="30"/>
        <v>0</v>
      </c>
      <c r="U93" s="563">
        <f t="shared" si="30"/>
        <v>0</v>
      </c>
      <c r="V93" s="563">
        <f t="shared" si="30"/>
        <v>0</v>
      </c>
      <c r="W93" s="563">
        <f t="shared" si="30"/>
        <v>0</v>
      </c>
      <c r="X93" s="563">
        <f t="shared" si="30"/>
        <v>0</v>
      </c>
    </row>
    <row r="94" spans="1:27" ht="17.25" thickTop="1" thickBot="1">
      <c r="A94" s="76" t="s">
        <v>108</v>
      </c>
      <c r="B94" s="206" t="s">
        <v>194</v>
      </c>
      <c r="C94" s="533" t="s">
        <v>21</v>
      </c>
      <c r="D94" s="903">
        <f t="shared" si="23"/>
        <v>0</v>
      </c>
      <c r="E94" s="904">
        <f t="shared" si="22"/>
        <v>0</v>
      </c>
      <c r="F94" s="62"/>
      <c r="G94" s="62"/>
      <c r="H94" s="903"/>
      <c r="I94" s="62"/>
      <c r="J94" s="62"/>
      <c r="K94" s="903"/>
      <c r="L94" s="62"/>
      <c r="M94" s="62"/>
      <c r="N94" s="57">
        <f>O94</f>
        <v>0</v>
      </c>
      <c r="O94" s="122"/>
      <c r="P94" s="57">
        <f>Q94</f>
        <v>0</v>
      </c>
      <c r="Q94" s="79"/>
      <c r="R94" s="57">
        <f>S94+T94</f>
        <v>0</v>
      </c>
      <c r="S94" s="79"/>
      <c r="T94" s="79"/>
      <c r="U94" s="57">
        <f>V94</f>
        <v>0</v>
      </c>
      <c r="V94" s="79"/>
      <c r="W94" s="57">
        <f>X94</f>
        <v>0</v>
      </c>
      <c r="X94" s="79"/>
    </row>
    <row r="95" spans="1:27" ht="16.5" thickBot="1">
      <c r="A95" s="78" t="s">
        <v>109</v>
      </c>
      <c r="B95" s="206" t="s">
        <v>195</v>
      </c>
      <c r="C95" s="521" t="s">
        <v>21</v>
      </c>
      <c r="D95" s="903">
        <f t="shared" si="23"/>
        <v>0</v>
      </c>
      <c r="E95" s="904">
        <f t="shared" si="22"/>
        <v>0</v>
      </c>
      <c r="F95" s="62"/>
      <c r="G95" s="62"/>
      <c r="H95" s="903"/>
      <c r="I95" s="62"/>
      <c r="J95" s="62"/>
      <c r="K95" s="903"/>
      <c r="L95" s="62"/>
      <c r="M95" s="62"/>
      <c r="N95" s="57">
        <f>O95</f>
        <v>0</v>
      </c>
      <c r="O95" s="208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110</v>
      </c>
      <c r="B96" s="206" t="s">
        <v>111</v>
      </c>
      <c r="C96" s="521" t="s">
        <v>21</v>
      </c>
      <c r="D96" s="903">
        <f>I96+L96</f>
        <v>58.667999999999999</v>
      </c>
      <c r="E96" s="904">
        <f t="shared" si="22"/>
        <v>0</v>
      </c>
      <c r="F96" s="62"/>
      <c r="G96" s="62"/>
      <c r="H96" s="930">
        <v>58.667999999999999</v>
      </c>
      <c r="I96" s="62">
        <v>58.667999999999999</v>
      </c>
      <c r="J96" s="62"/>
      <c r="K96" s="903"/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4" ht="16.5" thickBot="1">
      <c r="A97" s="625"/>
      <c r="B97" s="626" t="s">
        <v>112</v>
      </c>
      <c r="C97" s="627" t="s">
        <v>21</v>
      </c>
      <c r="D97" s="915">
        <f>D12+D71+D86+D93</f>
        <v>1574.376</v>
      </c>
      <c r="E97" s="916">
        <f t="shared" ref="E97:X97" si="31">E96+E93+E86+E71+E12</f>
        <v>0</v>
      </c>
      <c r="F97" s="628">
        <f t="shared" si="31"/>
        <v>0</v>
      </c>
      <c r="G97" s="628">
        <f t="shared" si="31"/>
        <v>0</v>
      </c>
      <c r="H97" s="915">
        <f>I97+J97</f>
        <v>1472.7729999999999</v>
      </c>
      <c r="I97" s="628">
        <f>I93+I86+I71+I12</f>
        <v>1343.6959999999999</v>
      </c>
      <c r="J97" s="628">
        <f>J96+J93+J86+J71+J12</f>
        <v>129.077</v>
      </c>
      <c r="K97" s="915">
        <f>L97+M97</f>
        <v>101.60300000000001</v>
      </c>
      <c r="L97" s="628">
        <f>L93+L86+L71+L12</f>
        <v>101.60300000000001</v>
      </c>
      <c r="M97" s="628"/>
      <c r="N97" s="218">
        <f t="shared" si="31"/>
        <v>0</v>
      </c>
      <c r="O97" s="218">
        <f t="shared" si="31"/>
        <v>0</v>
      </c>
      <c r="P97" s="218">
        <f t="shared" si="31"/>
        <v>0</v>
      </c>
      <c r="Q97" s="218">
        <f t="shared" si="31"/>
        <v>0</v>
      </c>
      <c r="R97" s="218">
        <f t="shared" si="31"/>
        <v>0</v>
      </c>
      <c r="S97" s="218">
        <f t="shared" si="31"/>
        <v>0</v>
      </c>
      <c r="T97" s="218">
        <f t="shared" si="31"/>
        <v>0</v>
      </c>
      <c r="U97" s="218">
        <f t="shared" si="31"/>
        <v>0</v>
      </c>
      <c r="V97" s="218">
        <f t="shared" si="31"/>
        <v>0</v>
      </c>
      <c r="W97" s="218">
        <f t="shared" si="31"/>
        <v>0</v>
      </c>
      <c r="X97" s="218">
        <f t="shared" si="31"/>
        <v>0</v>
      </c>
    </row>
    <row r="98" spans="1:24" s="26" customFormat="1" ht="13.5" thickTop="1">
      <c r="A98" s="24"/>
      <c r="B98" s="25"/>
      <c r="C98" s="25"/>
      <c r="D98" s="917">
        <v>80648.726999999999</v>
      </c>
      <c r="E98" s="917">
        <f>80648.727-D97</f>
        <v>79074.350999999995</v>
      </c>
      <c r="F98" s="25"/>
      <c r="G98" s="25"/>
      <c r="H98" s="917"/>
      <c r="I98" s="25"/>
      <c r="J98" s="25"/>
      <c r="K98" s="917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26" customFormat="1" ht="12.75">
      <c r="A99" s="27"/>
      <c r="B99" s="27"/>
      <c r="C99" s="27"/>
      <c r="D99" s="918">
        <f>I50</f>
        <v>0</v>
      </c>
      <c r="E99" s="919"/>
      <c r="F99" s="27"/>
      <c r="G99" s="27"/>
      <c r="H99" s="919"/>
      <c r="I99" s="27">
        <f>H96-I96</f>
        <v>0</v>
      </c>
      <c r="J99" s="27">
        <f>I96+E98</f>
        <v>79133.019</v>
      </c>
      <c r="K99" s="919"/>
      <c r="L99" s="27"/>
      <c r="M99" s="27">
        <f>9567.184-K97</f>
        <v>9465.5810000000001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36.75" customHeight="1" thickBot="1">
      <c r="A100" s="1719" t="s">
        <v>113</v>
      </c>
      <c r="B100" s="1719"/>
      <c r="C100" s="1719"/>
      <c r="D100" s="1719"/>
      <c r="E100" s="1719"/>
      <c r="F100" s="1719"/>
      <c r="G100" s="1719"/>
      <c r="H100" s="1719"/>
      <c r="I100" s="1719"/>
      <c r="J100" s="1719"/>
      <c r="K100" s="1719"/>
      <c r="L100" s="1719"/>
      <c r="M100" s="1719"/>
      <c r="N100" s="1719"/>
      <c r="O100" s="1719"/>
      <c r="P100" s="1719"/>
      <c r="Q100" s="1719"/>
      <c r="R100" s="1719"/>
      <c r="S100" s="1719"/>
      <c r="T100" s="1719"/>
      <c r="U100" s="220"/>
      <c r="V100" s="220"/>
      <c r="W100" s="220"/>
      <c r="X100" s="220"/>
    </row>
    <row r="101" spans="1:24" ht="15.75" thickBot="1">
      <c r="A101" s="115" t="s">
        <v>114</v>
      </c>
      <c r="B101" s="221" t="s">
        <v>115</v>
      </c>
      <c r="C101" s="115" t="s">
        <v>47</v>
      </c>
      <c r="D101" s="906">
        <f t="shared" ref="D101:D126" si="32">E101+H101+K101+N101+P101+R101+U101+W101</f>
        <v>0</v>
      </c>
      <c r="E101" s="906">
        <f t="shared" ref="E101:E126" si="33">F101+G101</f>
        <v>0</v>
      </c>
      <c r="F101" s="122"/>
      <c r="G101" s="122"/>
      <c r="H101" s="906">
        <f t="shared" ref="H101:H137" si="34">I101+J101</f>
        <v>0</v>
      </c>
      <c r="I101" s="122"/>
      <c r="J101" s="122"/>
      <c r="K101" s="906">
        <f t="shared" ref="K101:K137" si="35">L101+M101</f>
        <v>0</v>
      </c>
      <c r="L101" s="122"/>
      <c r="M101" s="122"/>
      <c r="N101" s="57">
        <f t="shared" ref="N101:N137" si="36">O101</f>
        <v>0</v>
      </c>
      <c r="O101" s="122"/>
      <c r="P101" s="57">
        <f t="shared" ref="P101:P137" si="37">Q101</f>
        <v>0</v>
      </c>
      <c r="Q101" s="189"/>
      <c r="R101" s="57">
        <f t="shared" ref="R101:R137" si="38">S101+T101</f>
        <v>0</v>
      </c>
      <c r="S101" s="136"/>
      <c r="T101" s="222"/>
      <c r="U101" s="57">
        <f t="shared" ref="U101:U137" si="39">V101</f>
        <v>0</v>
      </c>
      <c r="V101" s="136"/>
      <c r="W101" s="57">
        <f t="shared" ref="W101:W137" si="40">X101</f>
        <v>0</v>
      </c>
      <c r="X101" s="136"/>
    </row>
    <row r="102" spans="1:24" ht="15.75" thickBot="1">
      <c r="A102" s="71"/>
      <c r="B102" s="223" t="s">
        <v>116</v>
      </c>
      <c r="C102" s="71" t="s">
        <v>21</v>
      </c>
      <c r="D102" s="906">
        <f t="shared" si="32"/>
        <v>0</v>
      </c>
      <c r="E102" s="906">
        <f t="shared" si="33"/>
        <v>0</v>
      </c>
      <c r="F102" s="122"/>
      <c r="G102" s="122"/>
      <c r="H102" s="906">
        <f t="shared" si="34"/>
        <v>0</v>
      </c>
      <c r="I102" s="122"/>
      <c r="J102" s="122"/>
      <c r="K102" s="906">
        <f t="shared" si="35"/>
        <v>0</v>
      </c>
      <c r="L102" s="122"/>
      <c r="M102" s="122"/>
      <c r="N102" s="57">
        <f t="shared" si="36"/>
        <v>0</v>
      </c>
      <c r="O102" s="116"/>
      <c r="P102" s="57">
        <f t="shared" si="37"/>
        <v>0</v>
      </c>
      <c r="Q102" s="224"/>
      <c r="R102" s="57">
        <f t="shared" si="38"/>
        <v>0</v>
      </c>
      <c r="S102" s="143"/>
      <c r="T102" s="225"/>
      <c r="U102" s="57">
        <f t="shared" si="39"/>
        <v>0</v>
      </c>
      <c r="V102" s="226"/>
      <c r="W102" s="57">
        <f t="shared" si="40"/>
        <v>0</v>
      </c>
      <c r="X102" s="226"/>
    </row>
    <row r="103" spans="1:24" ht="15.75" thickBot="1">
      <c r="A103" s="115" t="s">
        <v>117</v>
      </c>
      <c r="B103" s="221" t="s">
        <v>118</v>
      </c>
      <c r="C103" s="115" t="s">
        <v>47</v>
      </c>
      <c r="D103" s="906">
        <f t="shared" si="32"/>
        <v>0</v>
      </c>
      <c r="E103" s="906">
        <f t="shared" si="33"/>
        <v>0</v>
      </c>
      <c r="F103" s="122"/>
      <c r="G103" s="122"/>
      <c r="H103" s="906">
        <f t="shared" si="34"/>
        <v>0</v>
      </c>
      <c r="I103" s="122"/>
      <c r="J103" s="122"/>
      <c r="K103" s="906">
        <f t="shared" si="35"/>
        <v>0</v>
      </c>
      <c r="L103" s="122"/>
      <c r="M103" s="122"/>
      <c r="N103" s="57">
        <f t="shared" si="36"/>
        <v>0</v>
      </c>
      <c r="O103" s="122"/>
      <c r="P103" s="57">
        <f t="shared" si="37"/>
        <v>0</v>
      </c>
      <c r="Q103" s="191"/>
      <c r="R103" s="57">
        <f t="shared" si="38"/>
        <v>0</v>
      </c>
      <c r="S103" s="54"/>
      <c r="T103" s="115"/>
      <c r="U103" s="57">
        <f t="shared" si="39"/>
        <v>0</v>
      </c>
      <c r="V103" s="123"/>
      <c r="W103" s="57">
        <f t="shared" si="40"/>
        <v>0</v>
      </c>
      <c r="X103" s="123"/>
    </row>
    <row r="104" spans="1:24" ht="15.75" thickBot="1">
      <c r="A104" s="119"/>
      <c r="B104" s="190"/>
      <c r="C104" s="119" t="s">
        <v>21</v>
      </c>
      <c r="D104" s="906">
        <f t="shared" si="32"/>
        <v>0</v>
      </c>
      <c r="E104" s="906">
        <f t="shared" si="33"/>
        <v>0</v>
      </c>
      <c r="F104" s="122"/>
      <c r="G104" s="122"/>
      <c r="H104" s="906">
        <f t="shared" si="34"/>
        <v>0</v>
      </c>
      <c r="I104" s="122"/>
      <c r="J104" s="122"/>
      <c r="K104" s="906">
        <f t="shared" si="35"/>
        <v>0</v>
      </c>
      <c r="L104" s="122"/>
      <c r="M104" s="122"/>
      <c r="N104" s="57">
        <f t="shared" si="36"/>
        <v>0</v>
      </c>
      <c r="O104" s="120"/>
      <c r="P104" s="57">
        <f t="shared" si="37"/>
        <v>0</v>
      </c>
      <c r="Q104" s="149"/>
      <c r="R104" s="57">
        <f t="shared" si="38"/>
        <v>0</v>
      </c>
      <c r="S104" s="143"/>
      <c r="T104" s="119"/>
      <c r="U104" s="57">
        <f t="shared" si="39"/>
        <v>0</v>
      </c>
      <c r="V104" s="121"/>
      <c r="W104" s="57">
        <f t="shared" si="40"/>
        <v>0</v>
      </c>
      <c r="X104" s="121"/>
    </row>
    <row r="105" spans="1:24" ht="15.75" thickBot="1">
      <c r="A105" s="115" t="s">
        <v>119</v>
      </c>
      <c r="B105" s="221" t="s">
        <v>120</v>
      </c>
      <c r="C105" s="115" t="s">
        <v>47</v>
      </c>
      <c r="D105" s="906">
        <f t="shared" si="32"/>
        <v>0</v>
      </c>
      <c r="E105" s="906">
        <f t="shared" si="33"/>
        <v>0</v>
      </c>
      <c r="F105" s="122"/>
      <c r="G105" s="122"/>
      <c r="H105" s="906">
        <f t="shared" si="34"/>
        <v>0</v>
      </c>
      <c r="I105" s="122"/>
      <c r="J105" s="122"/>
      <c r="K105" s="906">
        <f t="shared" si="35"/>
        <v>0</v>
      </c>
      <c r="L105" s="122"/>
      <c r="M105" s="122"/>
      <c r="N105" s="57">
        <f t="shared" si="36"/>
        <v>0</v>
      </c>
      <c r="O105" s="122"/>
      <c r="P105" s="57">
        <f t="shared" si="37"/>
        <v>0</v>
      </c>
      <c r="Q105" s="191"/>
      <c r="R105" s="57">
        <f t="shared" si="38"/>
        <v>0</v>
      </c>
      <c r="S105" s="136"/>
      <c r="T105" s="115"/>
      <c r="U105" s="57">
        <f t="shared" si="39"/>
        <v>0</v>
      </c>
      <c r="V105" s="123"/>
      <c r="W105" s="57">
        <f t="shared" si="40"/>
        <v>0</v>
      </c>
      <c r="X105" s="123"/>
    </row>
    <row r="106" spans="1:24" ht="15.75" thickBot="1">
      <c r="A106" s="119"/>
      <c r="B106" s="190"/>
      <c r="C106" s="119" t="s">
        <v>21</v>
      </c>
      <c r="D106" s="906">
        <f t="shared" si="32"/>
        <v>0</v>
      </c>
      <c r="E106" s="906">
        <f t="shared" si="33"/>
        <v>0</v>
      </c>
      <c r="F106" s="122"/>
      <c r="G106" s="122"/>
      <c r="H106" s="906">
        <f t="shared" si="34"/>
        <v>0</v>
      </c>
      <c r="I106" s="122"/>
      <c r="J106" s="122"/>
      <c r="K106" s="906">
        <f t="shared" si="35"/>
        <v>0</v>
      </c>
      <c r="L106" s="122"/>
      <c r="M106" s="122"/>
      <c r="N106" s="57">
        <f t="shared" si="36"/>
        <v>0</v>
      </c>
      <c r="O106" s="120"/>
      <c r="P106" s="57">
        <f t="shared" si="37"/>
        <v>0</v>
      </c>
      <c r="Q106" s="149"/>
      <c r="R106" s="57">
        <f t="shared" si="38"/>
        <v>0</v>
      </c>
      <c r="S106" s="143"/>
      <c r="T106" s="119"/>
      <c r="U106" s="57">
        <f t="shared" si="39"/>
        <v>0</v>
      </c>
      <c r="V106" s="121"/>
      <c r="W106" s="57">
        <f t="shared" si="40"/>
        <v>0</v>
      </c>
      <c r="X106" s="121"/>
    </row>
    <row r="107" spans="1:24" ht="15.75" thickBot="1">
      <c r="A107" s="52" t="s">
        <v>121</v>
      </c>
      <c r="B107" s="227" t="s">
        <v>122</v>
      </c>
      <c r="C107" s="52" t="s">
        <v>24</v>
      </c>
      <c r="D107" s="906">
        <f t="shared" si="32"/>
        <v>0</v>
      </c>
      <c r="E107" s="906">
        <f t="shared" si="33"/>
        <v>0</v>
      </c>
      <c r="F107" s="122"/>
      <c r="G107" s="122"/>
      <c r="H107" s="906">
        <f t="shared" si="34"/>
        <v>0</v>
      </c>
      <c r="I107" s="122"/>
      <c r="J107" s="122"/>
      <c r="K107" s="906">
        <f t="shared" si="35"/>
        <v>0</v>
      </c>
      <c r="L107" s="122"/>
      <c r="M107" s="122"/>
      <c r="N107" s="57">
        <f t="shared" si="36"/>
        <v>0</v>
      </c>
      <c r="O107" s="228"/>
      <c r="P107" s="57">
        <f t="shared" si="37"/>
        <v>0</v>
      </c>
      <c r="Q107" s="200"/>
      <c r="R107" s="57">
        <f t="shared" si="38"/>
        <v>0</v>
      </c>
      <c r="S107" s="54"/>
      <c r="T107" s="181"/>
      <c r="U107" s="57">
        <f t="shared" si="39"/>
        <v>0</v>
      </c>
      <c r="V107" s="54"/>
      <c r="W107" s="57">
        <f t="shared" si="40"/>
        <v>0</v>
      </c>
      <c r="X107" s="54"/>
    </row>
    <row r="108" spans="1:24" ht="15.75" thickBot="1">
      <c r="A108" s="119"/>
      <c r="B108" s="229" t="s">
        <v>123</v>
      </c>
      <c r="C108" s="119" t="s">
        <v>21</v>
      </c>
      <c r="D108" s="906">
        <f t="shared" si="32"/>
        <v>0</v>
      </c>
      <c r="E108" s="906">
        <f t="shared" si="33"/>
        <v>0</v>
      </c>
      <c r="F108" s="122"/>
      <c r="G108" s="122"/>
      <c r="H108" s="906">
        <f t="shared" si="34"/>
        <v>0</v>
      </c>
      <c r="I108" s="122"/>
      <c r="J108" s="122"/>
      <c r="K108" s="906">
        <f t="shared" si="35"/>
        <v>0</v>
      </c>
      <c r="L108" s="122"/>
      <c r="M108" s="122"/>
      <c r="N108" s="57">
        <f t="shared" si="36"/>
        <v>0</v>
      </c>
      <c r="O108" s="230"/>
      <c r="P108" s="57">
        <f t="shared" si="37"/>
        <v>0</v>
      </c>
      <c r="Q108" s="202"/>
      <c r="R108" s="57">
        <f t="shared" si="38"/>
        <v>0</v>
      </c>
      <c r="S108" s="231"/>
      <c r="T108" s="232"/>
      <c r="U108" s="57">
        <f t="shared" si="39"/>
        <v>0</v>
      </c>
      <c r="V108" s="231"/>
      <c r="W108" s="57">
        <f t="shared" si="40"/>
        <v>0</v>
      </c>
      <c r="X108" s="231"/>
    </row>
    <row r="109" spans="1:24" ht="15.75" thickBot="1">
      <c r="A109" s="52" t="s">
        <v>124</v>
      </c>
      <c r="B109" s="227" t="s">
        <v>125</v>
      </c>
      <c r="C109" s="52" t="s">
        <v>47</v>
      </c>
      <c r="D109" s="906">
        <f t="shared" si="32"/>
        <v>0</v>
      </c>
      <c r="E109" s="906">
        <f t="shared" si="33"/>
        <v>0</v>
      </c>
      <c r="F109" s="122"/>
      <c r="G109" s="122"/>
      <c r="H109" s="906">
        <f t="shared" si="34"/>
        <v>0</v>
      </c>
      <c r="I109" s="122"/>
      <c r="J109" s="122"/>
      <c r="K109" s="906">
        <f t="shared" si="35"/>
        <v>0</v>
      </c>
      <c r="L109" s="122"/>
      <c r="M109" s="122"/>
      <c r="N109" s="57">
        <f t="shared" si="36"/>
        <v>0</v>
      </c>
      <c r="O109" s="122"/>
      <c r="P109" s="57">
        <f t="shared" si="37"/>
        <v>0</v>
      </c>
      <c r="Q109" s="189"/>
      <c r="R109" s="57">
        <f t="shared" si="38"/>
        <v>0</v>
      </c>
      <c r="S109" s="136"/>
      <c r="T109" s="222"/>
      <c r="U109" s="57">
        <f t="shared" si="39"/>
        <v>0</v>
      </c>
      <c r="V109" s="136"/>
      <c r="W109" s="57">
        <f t="shared" si="40"/>
        <v>0</v>
      </c>
      <c r="X109" s="136"/>
    </row>
    <row r="110" spans="1:24" s="6" customFormat="1" ht="15.75" thickBot="1">
      <c r="A110" s="128"/>
      <c r="B110" s="233"/>
      <c r="C110" s="128" t="s">
        <v>21</v>
      </c>
      <c r="D110" s="906">
        <f t="shared" si="32"/>
        <v>0</v>
      </c>
      <c r="E110" s="906">
        <f t="shared" si="33"/>
        <v>0</v>
      </c>
      <c r="F110" s="122"/>
      <c r="G110" s="122"/>
      <c r="H110" s="906">
        <f t="shared" si="34"/>
        <v>0</v>
      </c>
      <c r="I110" s="122"/>
      <c r="J110" s="122"/>
      <c r="K110" s="906">
        <f t="shared" si="35"/>
        <v>0</v>
      </c>
      <c r="L110" s="122"/>
      <c r="M110" s="122"/>
      <c r="N110" s="57">
        <f t="shared" si="36"/>
        <v>0</v>
      </c>
      <c r="O110" s="230"/>
      <c r="P110" s="57">
        <f t="shared" si="37"/>
        <v>0</v>
      </c>
      <c r="Q110" s="202"/>
      <c r="R110" s="57">
        <f t="shared" si="38"/>
        <v>0</v>
      </c>
      <c r="S110" s="231"/>
      <c r="T110" s="232"/>
      <c r="U110" s="57">
        <f t="shared" si="39"/>
        <v>0</v>
      </c>
      <c r="V110" s="231"/>
      <c r="W110" s="57">
        <f t="shared" si="40"/>
        <v>0</v>
      </c>
      <c r="X110" s="231"/>
    </row>
    <row r="111" spans="1:24" s="6" customFormat="1" ht="16.5" thickBot="1">
      <c r="A111" s="115" t="s">
        <v>126</v>
      </c>
      <c r="B111" s="3" t="s">
        <v>127</v>
      </c>
      <c r="C111" s="115" t="s">
        <v>51</v>
      </c>
      <c r="D111" s="906">
        <f t="shared" si="32"/>
        <v>0</v>
      </c>
      <c r="E111" s="906">
        <f t="shared" si="33"/>
        <v>0</v>
      </c>
      <c r="F111" s="122"/>
      <c r="G111" s="122"/>
      <c r="H111" s="906">
        <f t="shared" si="34"/>
        <v>0</v>
      </c>
      <c r="I111" s="122"/>
      <c r="J111" s="122"/>
      <c r="K111" s="906">
        <f t="shared" si="35"/>
        <v>0</v>
      </c>
      <c r="L111" s="122"/>
      <c r="M111" s="122"/>
      <c r="N111" s="57">
        <f t="shared" si="36"/>
        <v>0</v>
      </c>
      <c r="O111" s="122"/>
      <c r="P111" s="57">
        <f t="shared" si="37"/>
        <v>0</v>
      </c>
      <c r="Q111" s="189"/>
      <c r="R111" s="57">
        <f t="shared" si="38"/>
        <v>0</v>
      </c>
      <c r="S111" s="136"/>
      <c r="T111" s="222"/>
      <c r="U111" s="57">
        <f t="shared" si="39"/>
        <v>0</v>
      </c>
      <c r="V111" s="136"/>
      <c r="W111" s="57">
        <f t="shared" si="40"/>
        <v>0</v>
      </c>
      <c r="X111" s="136"/>
    </row>
    <row r="112" spans="1:24" s="6" customFormat="1" ht="16.5" thickBot="1">
      <c r="A112" s="119"/>
      <c r="B112" s="199"/>
      <c r="C112" s="119" t="s">
        <v>128</v>
      </c>
      <c r="D112" s="906">
        <f t="shared" si="32"/>
        <v>0</v>
      </c>
      <c r="E112" s="906">
        <f t="shared" si="33"/>
        <v>0</v>
      </c>
      <c r="F112" s="122"/>
      <c r="G112" s="122"/>
      <c r="H112" s="906">
        <f t="shared" si="34"/>
        <v>0</v>
      </c>
      <c r="I112" s="122"/>
      <c r="J112" s="122"/>
      <c r="K112" s="906">
        <f t="shared" si="35"/>
        <v>0</v>
      </c>
      <c r="L112" s="122"/>
      <c r="M112" s="122"/>
      <c r="N112" s="57">
        <f t="shared" si="36"/>
        <v>0</v>
      </c>
      <c r="O112" s="120"/>
      <c r="P112" s="57">
        <f t="shared" si="37"/>
        <v>0</v>
      </c>
      <c r="Q112" s="190"/>
      <c r="R112" s="57">
        <f t="shared" si="38"/>
        <v>0</v>
      </c>
      <c r="S112" s="143"/>
      <c r="T112" s="187"/>
      <c r="U112" s="57">
        <f t="shared" si="39"/>
        <v>0</v>
      </c>
      <c r="V112" s="143"/>
      <c r="W112" s="57">
        <f t="shared" si="40"/>
        <v>0</v>
      </c>
      <c r="X112" s="143"/>
    </row>
    <row r="113" spans="1:24" s="6" customFormat="1" ht="16.5" thickBot="1">
      <c r="A113" s="234">
        <v>7</v>
      </c>
      <c r="B113" s="51" t="s">
        <v>129</v>
      </c>
      <c r="C113" s="52" t="s">
        <v>130</v>
      </c>
      <c r="D113" s="906">
        <f t="shared" si="32"/>
        <v>0</v>
      </c>
      <c r="E113" s="906">
        <f t="shared" si="33"/>
        <v>0</v>
      </c>
      <c r="F113" s="122"/>
      <c r="G113" s="122"/>
      <c r="H113" s="906">
        <f t="shared" si="34"/>
        <v>0</v>
      </c>
      <c r="I113" s="122"/>
      <c r="J113" s="122"/>
      <c r="K113" s="906">
        <f t="shared" si="35"/>
        <v>0</v>
      </c>
      <c r="L113" s="122"/>
      <c r="M113" s="122"/>
      <c r="N113" s="57">
        <f t="shared" si="36"/>
        <v>0</v>
      </c>
      <c r="O113" s="228"/>
      <c r="P113" s="57">
        <f t="shared" si="37"/>
        <v>0</v>
      </c>
      <c r="Q113" s="200"/>
      <c r="R113" s="57">
        <f t="shared" si="38"/>
        <v>0</v>
      </c>
      <c r="S113" s="54"/>
      <c r="T113" s="181"/>
      <c r="U113" s="57">
        <f t="shared" si="39"/>
        <v>0</v>
      </c>
      <c r="V113" s="54"/>
      <c r="W113" s="57">
        <f t="shared" si="40"/>
        <v>0</v>
      </c>
      <c r="X113" s="54"/>
    </row>
    <row r="114" spans="1:24" s="6" customFormat="1" ht="16.5" thickBot="1">
      <c r="A114" s="119"/>
      <c r="B114" s="235"/>
      <c r="C114" s="119" t="s">
        <v>21</v>
      </c>
      <c r="D114" s="906">
        <f t="shared" si="32"/>
        <v>0</v>
      </c>
      <c r="E114" s="906">
        <f t="shared" si="33"/>
        <v>0</v>
      </c>
      <c r="F114" s="122"/>
      <c r="G114" s="122"/>
      <c r="H114" s="906">
        <f t="shared" si="34"/>
        <v>0</v>
      </c>
      <c r="I114" s="122"/>
      <c r="J114" s="122"/>
      <c r="K114" s="906">
        <f t="shared" si="35"/>
        <v>0</v>
      </c>
      <c r="L114" s="122"/>
      <c r="M114" s="122"/>
      <c r="N114" s="57">
        <f t="shared" si="36"/>
        <v>0</v>
      </c>
      <c r="O114" s="230"/>
      <c r="P114" s="57">
        <f t="shared" si="37"/>
        <v>0</v>
      </c>
      <c r="Q114" s="202"/>
      <c r="R114" s="57">
        <f t="shared" si="38"/>
        <v>0</v>
      </c>
      <c r="S114" s="231"/>
      <c r="T114" s="232"/>
      <c r="U114" s="57">
        <f t="shared" si="39"/>
        <v>0</v>
      </c>
      <c r="V114" s="231"/>
      <c r="W114" s="57">
        <f t="shared" si="40"/>
        <v>0</v>
      </c>
      <c r="X114" s="231"/>
    </row>
    <row r="115" spans="1:24" s="10" customFormat="1" ht="16.5" thickBot="1">
      <c r="A115" s="236">
        <v>8</v>
      </c>
      <c r="B115" s="3" t="s">
        <v>131</v>
      </c>
      <c r="C115" s="115" t="s">
        <v>47</v>
      </c>
      <c r="D115" s="906">
        <f t="shared" si="32"/>
        <v>0</v>
      </c>
      <c r="E115" s="906">
        <f t="shared" si="33"/>
        <v>0</v>
      </c>
      <c r="F115" s="122"/>
      <c r="G115" s="122"/>
      <c r="H115" s="906">
        <f t="shared" si="34"/>
        <v>0</v>
      </c>
      <c r="I115" s="122"/>
      <c r="J115" s="122"/>
      <c r="K115" s="906">
        <f t="shared" si="35"/>
        <v>0</v>
      </c>
      <c r="L115" s="122"/>
      <c r="M115" s="122"/>
      <c r="N115" s="57">
        <f t="shared" si="36"/>
        <v>0</v>
      </c>
      <c r="O115" s="122"/>
      <c r="P115" s="57">
        <f t="shared" si="37"/>
        <v>0</v>
      </c>
      <c r="Q115" s="189"/>
      <c r="R115" s="57">
        <f t="shared" si="38"/>
        <v>0</v>
      </c>
      <c r="S115" s="136"/>
      <c r="T115" s="222"/>
      <c r="U115" s="57">
        <f t="shared" si="39"/>
        <v>0</v>
      </c>
      <c r="V115" s="136"/>
      <c r="W115" s="57">
        <f t="shared" si="40"/>
        <v>0</v>
      </c>
      <c r="X115" s="136"/>
    </row>
    <row r="116" spans="1:24" s="10" customFormat="1" ht="16.5" thickBot="1">
      <c r="A116" s="237"/>
      <c r="B116" s="199" t="s">
        <v>132</v>
      </c>
      <c r="C116" s="119" t="s">
        <v>21</v>
      </c>
      <c r="D116" s="906">
        <f t="shared" si="32"/>
        <v>0</v>
      </c>
      <c r="E116" s="906">
        <f t="shared" si="33"/>
        <v>0</v>
      </c>
      <c r="F116" s="122"/>
      <c r="G116" s="122"/>
      <c r="H116" s="906">
        <f t="shared" si="34"/>
        <v>0</v>
      </c>
      <c r="I116" s="122"/>
      <c r="J116" s="122"/>
      <c r="K116" s="906">
        <f t="shared" si="35"/>
        <v>0</v>
      </c>
      <c r="L116" s="122"/>
      <c r="M116" s="122"/>
      <c r="N116" s="57">
        <f t="shared" si="36"/>
        <v>0</v>
      </c>
      <c r="O116" s="230"/>
      <c r="P116" s="57">
        <f t="shared" si="37"/>
        <v>0</v>
      </c>
      <c r="Q116" s="202"/>
      <c r="R116" s="57">
        <f t="shared" si="38"/>
        <v>0</v>
      </c>
      <c r="S116" s="231"/>
      <c r="T116" s="232"/>
      <c r="U116" s="57">
        <f t="shared" si="39"/>
        <v>0</v>
      </c>
      <c r="V116" s="231"/>
      <c r="W116" s="57">
        <f t="shared" si="40"/>
        <v>0</v>
      </c>
      <c r="X116" s="231"/>
    </row>
    <row r="117" spans="1:24" s="6" customFormat="1" ht="16.5" thickBot="1">
      <c r="A117" s="236">
        <v>9</v>
      </c>
      <c r="B117" s="3" t="s">
        <v>133</v>
      </c>
      <c r="C117" s="115" t="s">
        <v>134</v>
      </c>
      <c r="D117" s="906">
        <f t="shared" si="32"/>
        <v>0</v>
      </c>
      <c r="E117" s="906">
        <f t="shared" si="33"/>
        <v>0</v>
      </c>
      <c r="F117" s="122"/>
      <c r="G117" s="122"/>
      <c r="H117" s="906">
        <f t="shared" si="34"/>
        <v>0</v>
      </c>
      <c r="I117" s="122"/>
      <c r="J117" s="122"/>
      <c r="K117" s="906">
        <f t="shared" si="35"/>
        <v>0</v>
      </c>
      <c r="L117" s="122"/>
      <c r="M117" s="122"/>
      <c r="N117" s="57">
        <f t="shared" si="36"/>
        <v>0</v>
      </c>
      <c r="O117" s="122"/>
      <c r="P117" s="57">
        <f t="shared" si="37"/>
        <v>0</v>
      </c>
      <c r="Q117" s="189"/>
      <c r="R117" s="57">
        <f t="shared" si="38"/>
        <v>0</v>
      </c>
      <c r="S117" s="136"/>
      <c r="T117" s="222"/>
      <c r="U117" s="57">
        <f t="shared" si="39"/>
        <v>0</v>
      </c>
      <c r="V117" s="136"/>
      <c r="W117" s="57">
        <f t="shared" si="40"/>
        <v>0</v>
      </c>
      <c r="X117" s="136"/>
    </row>
    <row r="118" spans="1:24" s="6" customFormat="1" ht="16.5" thickBot="1">
      <c r="A118" s="119"/>
      <c r="B118" s="199" t="s">
        <v>135</v>
      </c>
      <c r="C118" s="119" t="s">
        <v>21</v>
      </c>
      <c r="D118" s="906">
        <f t="shared" si="32"/>
        <v>0</v>
      </c>
      <c r="E118" s="906">
        <f t="shared" si="33"/>
        <v>0</v>
      </c>
      <c r="F118" s="122"/>
      <c r="G118" s="122"/>
      <c r="H118" s="906">
        <f t="shared" si="34"/>
        <v>0</v>
      </c>
      <c r="I118" s="122"/>
      <c r="J118" s="122"/>
      <c r="K118" s="906">
        <f t="shared" si="35"/>
        <v>0</v>
      </c>
      <c r="L118" s="122"/>
      <c r="M118" s="122"/>
      <c r="N118" s="57">
        <f t="shared" si="36"/>
        <v>0</v>
      </c>
      <c r="O118" s="230"/>
      <c r="P118" s="57">
        <f t="shared" si="37"/>
        <v>0</v>
      </c>
      <c r="Q118" s="202"/>
      <c r="R118" s="57">
        <f t="shared" si="38"/>
        <v>0</v>
      </c>
      <c r="S118" s="231"/>
      <c r="T118" s="232"/>
      <c r="U118" s="57">
        <f t="shared" si="39"/>
        <v>0</v>
      </c>
      <c r="V118" s="231"/>
      <c r="W118" s="57">
        <f t="shared" si="40"/>
        <v>0</v>
      </c>
      <c r="X118" s="231"/>
    </row>
    <row r="119" spans="1:24" s="6" customFormat="1" ht="16.5" thickBot="1">
      <c r="A119" s="115" t="s">
        <v>136</v>
      </c>
      <c r="B119" s="188" t="s">
        <v>137</v>
      </c>
      <c r="C119" s="189" t="s">
        <v>21</v>
      </c>
      <c r="D119" s="906">
        <f t="shared" si="32"/>
        <v>0</v>
      </c>
      <c r="E119" s="906">
        <f t="shared" si="33"/>
        <v>0</v>
      </c>
      <c r="F119" s="122"/>
      <c r="G119" s="122"/>
      <c r="H119" s="906">
        <f t="shared" si="34"/>
        <v>0</v>
      </c>
      <c r="I119" s="122">
        <v>0</v>
      </c>
      <c r="J119" s="122"/>
      <c r="K119" s="906">
        <f t="shared" si="35"/>
        <v>0</v>
      </c>
      <c r="L119" s="122"/>
      <c r="M119" s="122"/>
      <c r="N119" s="57">
        <f t="shared" si="36"/>
        <v>0</v>
      </c>
      <c r="O119" s="122"/>
      <c r="P119" s="57">
        <f t="shared" si="37"/>
        <v>0</v>
      </c>
      <c r="Q119" s="238"/>
      <c r="R119" s="57">
        <f t="shared" si="38"/>
        <v>0</v>
      </c>
      <c r="S119" s="136"/>
      <c r="T119" s="239"/>
      <c r="U119" s="57">
        <f t="shared" si="39"/>
        <v>0</v>
      </c>
      <c r="V119" s="123"/>
      <c r="W119" s="57">
        <f t="shared" si="40"/>
        <v>0</v>
      </c>
      <c r="X119" s="123"/>
    </row>
    <row r="120" spans="1:24" s="6" customFormat="1" ht="16.5" thickBot="1">
      <c r="A120" s="56" t="s">
        <v>138</v>
      </c>
      <c r="B120" s="240" t="s">
        <v>139</v>
      </c>
      <c r="C120" s="52" t="s">
        <v>21</v>
      </c>
      <c r="D120" s="906">
        <f t="shared" si="32"/>
        <v>0</v>
      </c>
      <c r="E120" s="906">
        <f t="shared" si="33"/>
        <v>0</v>
      </c>
      <c r="F120" s="122"/>
      <c r="G120" s="122"/>
      <c r="H120" s="906">
        <f t="shared" si="34"/>
        <v>0</v>
      </c>
      <c r="I120" s="122"/>
      <c r="J120" s="122"/>
      <c r="K120" s="906">
        <f t="shared" si="35"/>
        <v>0</v>
      </c>
      <c r="L120" s="122"/>
      <c r="M120" s="122"/>
      <c r="N120" s="57">
        <f t="shared" si="36"/>
        <v>0</v>
      </c>
      <c r="O120" s="228"/>
      <c r="P120" s="57">
        <f t="shared" si="37"/>
        <v>0</v>
      </c>
      <c r="Q120" s="241"/>
      <c r="R120" s="57">
        <f t="shared" si="38"/>
        <v>0</v>
      </c>
      <c r="S120" s="54"/>
      <c r="T120" s="228"/>
      <c r="U120" s="57">
        <f t="shared" si="39"/>
        <v>0</v>
      </c>
      <c r="V120" s="53"/>
      <c r="W120" s="57">
        <f t="shared" si="40"/>
        <v>0</v>
      </c>
      <c r="X120" s="53"/>
    </row>
    <row r="121" spans="1:24" s="6" customFormat="1" ht="16.5" thickBot="1">
      <c r="A121" s="242" t="s">
        <v>140</v>
      </c>
      <c r="B121" s="243" t="s">
        <v>141</v>
      </c>
      <c r="C121" s="242" t="s">
        <v>21</v>
      </c>
      <c r="D121" s="906">
        <f t="shared" si="32"/>
        <v>0</v>
      </c>
      <c r="E121" s="906">
        <f t="shared" si="33"/>
        <v>0</v>
      </c>
      <c r="F121" s="122"/>
      <c r="G121" s="122"/>
      <c r="H121" s="906">
        <f t="shared" si="34"/>
        <v>0</v>
      </c>
      <c r="I121" s="122"/>
      <c r="J121" s="122"/>
      <c r="K121" s="906">
        <f t="shared" si="35"/>
        <v>0</v>
      </c>
      <c r="L121" s="122"/>
      <c r="M121" s="122"/>
      <c r="N121" s="57">
        <f t="shared" si="36"/>
        <v>0</v>
      </c>
      <c r="O121" s="137"/>
      <c r="P121" s="57">
        <f t="shared" si="37"/>
        <v>0</v>
      </c>
      <c r="Q121" s="145"/>
      <c r="R121" s="57">
        <f t="shared" si="38"/>
        <v>0</v>
      </c>
      <c r="S121" s="161"/>
      <c r="T121" s="137"/>
      <c r="U121" s="57">
        <f t="shared" si="39"/>
        <v>0</v>
      </c>
      <c r="V121" s="138"/>
      <c r="W121" s="57">
        <f t="shared" si="40"/>
        <v>0</v>
      </c>
      <c r="X121" s="138"/>
    </row>
    <row r="122" spans="1:24" s="6" customFormat="1" ht="16.5" thickBot="1">
      <c r="A122" s="78" t="s">
        <v>142</v>
      </c>
      <c r="B122" s="244" t="s">
        <v>143</v>
      </c>
      <c r="C122" s="78" t="s">
        <v>21</v>
      </c>
      <c r="D122" s="906">
        <f t="shared" si="32"/>
        <v>0</v>
      </c>
      <c r="E122" s="906">
        <f t="shared" si="33"/>
        <v>0</v>
      </c>
      <c r="F122" s="122"/>
      <c r="G122" s="122"/>
      <c r="H122" s="906">
        <f t="shared" si="34"/>
        <v>0</v>
      </c>
      <c r="I122" s="122"/>
      <c r="J122" s="122"/>
      <c r="K122" s="906">
        <f t="shared" si="35"/>
        <v>0</v>
      </c>
      <c r="L122" s="122"/>
      <c r="M122" s="122"/>
      <c r="N122" s="57">
        <f t="shared" si="36"/>
        <v>0</v>
      </c>
      <c r="O122" s="208"/>
      <c r="P122" s="57">
        <f t="shared" si="37"/>
        <v>0</v>
      </c>
      <c r="Q122" s="245"/>
      <c r="R122" s="57">
        <f t="shared" si="38"/>
        <v>0</v>
      </c>
      <c r="S122" s="246"/>
      <c r="T122" s="208"/>
      <c r="U122" s="57">
        <f t="shared" si="39"/>
        <v>0</v>
      </c>
      <c r="V122" s="79"/>
      <c r="W122" s="57">
        <f t="shared" si="40"/>
        <v>0</v>
      </c>
      <c r="X122" s="79"/>
    </row>
    <row r="123" spans="1:24" s="6" customFormat="1" ht="16.5" thickBot="1">
      <c r="A123" s="131">
        <v>13</v>
      </c>
      <c r="B123" s="243" t="s">
        <v>144</v>
      </c>
      <c r="C123" s="242" t="s">
        <v>21</v>
      </c>
      <c r="D123" s="906">
        <f t="shared" si="32"/>
        <v>0</v>
      </c>
      <c r="E123" s="906">
        <f t="shared" si="33"/>
        <v>0</v>
      </c>
      <c r="F123" s="122"/>
      <c r="G123" s="122"/>
      <c r="H123" s="906">
        <f t="shared" si="34"/>
        <v>0</v>
      </c>
      <c r="I123" s="122"/>
      <c r="J123" s="122"/>
      <c r="K123" s="906">
        <f t="shared" si="35"/>
        <v>0</v>
      </c>
      <c r="L123" s="122"/>
      <c r="M123" s="122"/>
      <c r="N123" s="57">
        <f t="shared" si="36"/>
        <v>0</v>
      </c>
      <c r="O123" s="137"/>
      <c r="P123" s="57">
        <f t="shared" si="37"/>
        <v>0</v>
      </c>
      <c r="Q123" s="145"/>
      <c r="R123" s="57">
        <f t="shared" si="38"/>
        <v>0</v>
      </c>
      <c r="S123" s="161"/>
      <c r="T123" s="137"/>
      <c r="U123" s="57">
        <f t="shared" si="39"/>
        <v>0</v>
      </c>
      <c r="V123" s="138"/>
      <c r="W123" s="57">
        <f t="shared" si="40"/>
        <v>0</v>
      </c>
      <c r="X123" s="138"/>
    </row>
    <row r="124" spans="1:24" s="6" customFormat="1" ht="16.5" thickBot="1">
      <c r="A124" s="131">
        <v>14</v>
      </c>
      <c r="B124" s="247" t="s">
        <v>145</v>
      </c>
      <c r="C124" s="242" t="s">
        <v>21</v>
      </c>
      <c r="D124" s="906">
        <f t="shared" si="32"/>
        <v>0</v>
      </c>
      <c r="E124" s="906">
        <f t="shared" si="33"/>
        <v>0</v>
      </c>
      <c r="F124" s="122"/>
      <c r="G124" s="122"/>
      <c r="H124" s="906">
        <f t="shared" si="34"/>
        <v>0</v>
      </c>
      <c r="I124" s="122">
        <v>0</v>
      </c>
      <c r="J124" s="122"/>
      <c r="K124" s="906">
        <f t="shared" si="35"/>
        <v>0</v>
      </c>
      <c r="L124" s="122"/>
      <c r="M124" s="122"/>
      <c r="N124" s="57">
        <f t="shared" si="36"/>
        <v>0</v>
      </c>
      <c r="O124" s="137"/>
      <c r="P124" s="57">
        <f t="shared" si="37"/>
        <v>0</v>
      </c>
      <c r="Q124" s="145"/>
      <c r="R124" s="57">
        <f t="shared" si="38"/>
        <v>0</v>
      </c>
      <c r="S124" s="161"/>
      <c r="T124" s="137"/>
      <c r="U124" s="57">
        <f t="shared" si="39"/>
        <v>0</v>
      </c>
      <c r="V124" s="138"/>
      <c r="W124" s="57">
        <f t="shared" si="40"/>
        <v>0</v>
      </c>
      <c r="X124" s="138"/>
    </row>
    <row r="125" spans="1:24" s="6" customFormat="1" ht="16.5" thickBot="1">
      <c r="A125" s="78" t="s">
        <v>146</v>
      </c>
      <c r="B125" s="244" t="s">
        <v>147</v>
      </c>
      <c r="C125" s="78" t="s">
        <v>21</v>
      </c>
      <c r="D125" s="906">
        <f t="shared" si="32"/>
        <v>0</v>
      </c>
      <c r="E125" s="906">
        <f t="shared" si="33"/>
        <v>0</v>
      </c>
      <c r="F125" s="122"/>
      <c r="G125" s="122"/>
      <c r="H125" s="906">
        <f t="shared" si="34"/>
        <v>0</v>
      </c>
      <c r="I125" s="122">
        <v>0</v>
      </c>
      <c r="J125" s="122"/>
      <c r="K125" s="906">
        <f t="shared" si="35"/>
        <v>0</v>
      </c>
      <c r="L125" s="122"/>
      <c r="M125" s="122"/>
      <c r="N125" s="57">
        <f t="shared" si="36"/>
        <v>0</v>
      </c>
      <c r="O125" s="208"/>
      <c r="P125" s="57">
        <f t="shared" si="37"/>
        <v>0</v>
      </c>
      <c r="Q125" s="245"/>
      <c r="R125" s="57">
        <f t="shared" si="38"/>
        <v>0</v>
      </c>
      <c r="S125" s="246"/>
      <c r="T125" s="208"/>
      <c r="U125" s="57">
        <f t="shared" si="39"/>
        <v>0</v>
      </c>
      <c r="V125" s="79"/>
      <c r="W125" s="57">
        <f t="shared" si="40"/>
        <v>0</v>
      </c>
      <c r="X125" s="79"/>
    </row>
    <row r="126" spans="1:24" ht="15.75">
      <c r="A126" s="236">
        <v>16</v>
      </c>
      <c r="B126" s="3" t="s">
        <v>148</v>
      </c>
      <c r="C126" s="115" t="s">
        <v>21</v>
      </c>
      <c r="D126" s="906">
        <f t="shared" si="32"/>
        <v>0</v>
      </c>
      <c r="E126" s="906">
        <f t="shared" si="33"/>
        <v>0</v>
      </c>
      <c r="F126" s="122"/>
      <c r="G126" s="122"/>
      <c r="H126" s="906">
        <f t="shared" si="34"/>
        <v>0</v>
      </c>
      <c r="I126" s="122">
        <v>0</v>
      </c>
      <c r="J126" s="122"/>
      <c r="K126" s="906">
        <f t="shared" si="35"/>
        <v>0</v>
      </c>
      <c r="L126" s="122"/>
      <c r="M126" s="122"/>
      <c r="N126" s="57">
        <f t="shared" si="36"/>
        <v>0</v>
      </c>
      <c r="O126" s="123"/>
      <c r="P126" s="57">
        <f t="shared" si="37"/>
        <v>0</v>
      </c>
      <c r="Q126" s="248"/>
      <c r="R126" s="57">
        <f t="shared" si="38"/>
        <v>0</v>
      </c>
      <c r="S126" s="136"/>
      <c r="T126" s="123"/>
      <c r="U126" s="57">
        <f t="shared" si="39"/>
        <v>0</v>
      </c>
      <c r="V126" s="123"/>
      <c r="W126" s="57">
        <f t="shared" si="40"/>
        <v>0</v>
      </c>
      <c r="X126" s="123"/>
    </row>
    <row r="127" spans="1:24" ht="16.5" thickBot="1">
      <c r="A127" s="56" t="s">
        <v>149</v>
      </c>
      <c r="B127" s="55" t="s">
        <v>150</v>
      </c>
      <c r="C127" s="56" t="s">
        <v>128</v>
      </c>
      <c r="D127" s="906">
        <f>D129+D131+D133+D135</f>
        <v>0</v>
      </c>
      <c r="E127" s="906">
        <f>E129+E131+E133+E135</f>
        <v>0</v>
      </c>
      <c r="F127" s="57">
        <f>F129+F131+F133+F135</f>
        <v>0</v>
      </c>
      <c r="G127" s="57">
        <f>G129+G131+G133+G135</f>
        <v>0</v>
      </c>
      <c r="H127" s="906">
        <f t="shared" si="34"/>
        <v>0</v>
      </c>
      <c r="I127" s="57">
        <f>I129+I131+I133+I135</f>
        <v>0</v>
      </c>
      <c r="J127" s="57">
        <f>J129+J131+J133+J135</f>
        <v>0</v>
      </c>
      <c r="K127" s="906">
        <f t="shared" si="35"/>
        <v>0</v>
      </c>
      <c r="L127" s="57">
        <f>L129+L131+L133+L135</f>
        <v>0</v>
      </c>
      <c r="M127" s="57">
        <f>M129+M131+M133+M135</f>
        <v>0</v>
      </c>
      <c r="N127" s="57">
        <f t="shared" si="36"/>
        <v>0</v>
      </c>
      <c r="O127" s="57">
        <f>O129+O131+O133+O135</f>
        <v>0</v>
      </c>
      <c r="P127" s="57">
        <f t="shared" si="37"/>
        <v>0</v>
      </c>
      <c r="Q127" s="57">
        <f>Q129+Q131+Q133+Q135</f>
        <v>0</v>
      </c>
      <c r="R127" s="57">
        <f t="shared" si="38"/>
        <v>0</v>
      </c>
      <c r="S127" s="57">
        <f>S129+S131+S133+S135</f>
        <v>0</v>
      </c>
      <c r="T127" s="57">
        <f>T129+T131+T133+T135</f>
        <v>0</v>
      </c>
      <c r="U127" s="57">
        <f t="shared" si="39"/>
        <v>0</v>
      </c>
      <c r="V127" s="57">
        <f>V129+V131+V133+V135</f>
        <v>0</v>
      </c>
      <c r="W127" s="57">
        <f t="shared" si="40"/>
        <v>0</v>
      </c>
      <c r="X127" s="57">
        <f>X129+X131+X133+X135</f>
        <v>0</v>
      </c>
    </row>
    <row r="128" spans="1:24" ht="16.5" thickBot="1">
      <c r="A128" s="56" t="s">
        <v>151</v>
      </c>
      <c r="B128" s="55" t="s">
        <v>152</v>
      </c>
      <c r="C128" s="56" t="s">
        <v>47</v>
      </c>
      <c r="D128" s="906">
        <f t="shared" ref="D128:D137" si="41">E128+H128+K128+N128+P128+R128+U128+W128</f>
        <v>0</v>
      </c>
      <c r="E128" s="906">
        <f t="shared" ref="E128:E137" si="42">F128+G128</f>
        <v>0</v>
      </c>
      <c r="F128" s="122"/>
      <c r="G128" s="122"/>
      <c r="H128" s="906">
        <f t="shared" si="34"/>
        <v>0</v>
      </c>
      <c r="I128" s="122"/>
      <c r="J128" s="122"/>
      <c r="K128" s="906">
        <f t="shared" si="35"/>
        <v>0</v>
      </c>
      <c r="L128" s="122"/>
      <c r="M128" s="122"/>
      <c r="N128" s="57">
        <f t="shared" si="36"/>
        <v>0</v>
      </c>
      <c r="O128" s="228"/>
      <c r="P128" s="57">
        <f t="shared" si="37"/>
        <v>0</v>
      </c>
      <c r="Q128" s="241"/>
      <c r="R128" s="57">
        <f t="shared" si="38"/>
        <v>0</v>
      </c>
      <c r="S128" s="54"/>
      <c r="T128" s="228"/>
      <c r="U128" s="57">
        <f t="shared" si="39"/>
        <v>0</v>
      </c>
      <c r="V128" s="53"/>
      <c r="W128" s="57">
        <f t="shared" si="40"/>
        <v>0</v>
      </c>
      <c r="X128" s="53"/>
    </row>
    <row r="129" spans="1:256" ht="16.5" thickBot="1">
      <c r="A129" s="56"/>
      <c r="B129" s="55"/>
      <c r="C129" s="56" t="s">
        <v>21</v>
      </c>
      <c r="D129" s="906">
        <f t="shared" si="41"/>
        <v>0</v>
      </c>
      <c r="E129" s="906">
        <f t="shared" si="42"/>
        <v>0</v>
      </c>
      <c r="F129" s="122"/>
      <c r="G129" s="122"/>
      <c r="H129" s="906">
        <f t="shared" si="34"/>
        <v>0</v>
      </c>
      <c r="I129" s="122"/>
      <c r="J129" s="122"/>
      <c r="K129" s="906">
        <f t="shared" si="35"/>
        <v>0</v>
      </c>
      <c r="L129" s="122"/>
      <c r="M129" s="122"/>
      <c r="N129" s="57">
        <f t="shared" si="36"/>
        <v>0</v>
      </c>
      <c r="O129" s="64"/>
      <c r="P129" s="57">
        <f t="shared" si="37"/>
        <v>0</v>
      </c>
      <c r="Q129" s="249"/>
      <c r="R129" s="57">
        <f t="shared" si="38"/>
        <v>0</v>
      </c>
      <c r="S129" s="59"/>
      <c r="T129" s="64"/>
      <c r="U129" s="57">
        <f t="shared" si="39"/>
        <v>0</v>
      </c>
      <c r="V129" s="57"/>
      <c r="W129" s="57">
        <f t="shared" si="40"/>
        <v>0</v>
      </c>
      <c r="X129" s="57"/>
    </row>
    <row r="130" spans="1:256" ht="16.5" thickBot="1">
      <c r="A130" s="56" t="s">
        <v>153</v>
      </c>
      <c r="B130" s="55" t="s">
        <v>154</v>
      </c>
      <c r="C130" s="56" t="s">
        <v>47</v>
      </c>
      <c r="D130" s="906">
        <f t="shared" si="41"/>
        <v>0</v>
      </c>
      <c r="E130" s="906">
        <f t="shared" si="42"/>
        <v>0</v>
      </c>
      <c r="F130" s="122"/>
      <c r="G130" s="122"/>
      <c r="H130" s="906">
        <f t="shared" si="34"/>
        <v>0</v>
      </c>
      <c r="I130" s="122"/>
      <c r="J130" s="122"/>
      <c r="K130" s="906">
        <f t="shared" si="35"/>
        <v>0</v>
      </c>
      <c r="L130" s="122"/>
      <c r="M130" s="122"/>
      <c r="N130" s="57">
        <f t="shared" si="36"/>
        <v>0</v>
      </c>
      <c r="O130" s="64"/>
      <c r="P130" s="57">
        <f t="shared" si="37"/>
        <v>0</v>
      </c>
      <c r="Q130" s="249"/>
      <c r="R130" s="57">
        <f t="shared" si="38"/>
        <v>0</v>
      </c>
      <c r="S130" s="59"/>
      <c r="T130" s="64"/>
      <c r="U130" s="57">
        <f t="shared" si="39"/>
        <v>0</v>
      </c>
      <c r="V130" s="57"/>
      <c r="W130" s="57">
        <f t="shared" si="40"/>
        <v>0</v>
      </c>
      <c r="X130" s="57"/>
    </row>
    <row r="131" spans="1:256" ht="16.5" thickBot="1">
      <c r="A131" s="56"/>
      <c r="B131" s="55"/>
      <c r="C131" s="56" t="s">
        <v>155</v>
      </c>
      <c r="D131" s="906">
        <f t="shared" si="41"/>
        <v>0</v>
      </c>
      <c r="E131" s="906">
        <f t="shared" si="42"/>
        <v>0</v>
      </c>
      <c r="F131" s="122"/>
      <c r="G131" s="122"/>
      <c r="H131" s="906">
        <f t="shared" si="34"/>
        <v>0</v>
      </c>
      <c r="I131" s="122"/>
      <c r="J131" s="122"/>
      <c r="K131" s="906">
        <f t="shared" si="35"/>
        <v>0</v>
      </c>
      <c r="L131" s="122"/>
      <c r="M131" s="122"/>
      <c r="N131" s="57">
        <f t="shared" si="36"/>
        <v>0</v>
      </c>
      <c r="O131" s="64"/>
      <c r="P131" s="57">
        <f t="shared" si="37"/>
        <v>0</v>
      </c>
      <c r="Q131" s="249"/>
      <c r="R131" s="57">
        <f t="shared" si="38"/>
        <v>0</v>
      </c>
      <c r="S131" s="59"/>
      <c r="T131" s="64"/>
      <c r="U131" s="57">
        <f t="shared" si="39"/>
        <v>0</v>
      </c>
      <c r="V131" s="57"/>
      <c r="W131" s="57">
        <f t="shared" si="40"/>
        <v>0</v>
      </c>
      <c r="X131" s="57"/>
    </row>
    <row r="132" spans="1:256" ht="16.5" thickBot="1">
      <c r="A132" s="56" t="s">
        <v>156</v>
      </c>
      <c r="B132" s="55" t="s">
        <v>157</v>
      </c>
      <c r="C132" s="56" t="s">
        <v>47</v>
      </c>
      <c r="D132" s="906">
        <f t="shared" si="41"/>
        <v>0</v>
      </c>
      <c r="E132" s="906">
        <f t="shared" si="42"/>
        <v>0</v>
      </c>
      <c r="F132" s="122"/>
      <c r="G132" s="122"/>
      <c r="H132" s="906">
        <f t="shared" si="34"/>
        <v>0</v>
      </c>
      <c r="I132" s="122"/>
      <c r="J132" s="122"/>
      <c r="K132" s="906">
        <f t="shared" si="35"/>
        <v>0</v>
      </c>
      <c r="L132" s="122"/>
      <c r="M132" s="122"/>
      <c r="N132" s="57">
        <f t="shared" si="36"/>
        <v>0</v>
      </c>
      <c r="O132" s="64"/>
      <c r="P132" s="57">
        <f t="shared" si="37"/>
        <v>0</v>
      </c>
      <c r="Q132" s="249"/>
      <c r="R132" s="57">
        <f t="shared" si="38"/>
        <v>0</v>
      </c>
      <c r="S132" s="59"/>
      <c r="T132" s="64"/>
      <c r="U132" s="57">
        <f t="shared" si="39"/>
        <v>0</v>
      </c>
      <c r="V132" s="57"/>
      <c r="W132" s="57">
        <f t="shared" si="40"/>
        <v>0</v>
      </c>
      <c r="X132" s="57"/>
    </row>
    <row r="133" spans="1:256" ht="16.5" thickBot="1">
      <c r="A133" s="56"/>
      <c r="B133" s="184" t="s">
        <v>158</v>
      </c>
      <c r="C133" s="56" t="s">
        <v>21</v>
      </c>
      <c r="D133" s="906">
        <f t="shared" si="41"/>
        <v>0</v>
      </c>
      <c r="E133" s="906">
        <f t="shared" si="42"/>
        <v>0</v>
      </c>
      <c r="F133" s="122"/>
      <c r="G133" s="122"/>
      <c r="H133" s="906">
        <f t="shared" si="34"/>
        <v>0</v>
      </c>
      <c r="I133" s="122"/>
      <c r="J133" s="122"/>
      <c r="K133" s="906">
        <f t="shared" si="35"/>
        <v>0</v>
      </c>
      <c r="L133" s="122"/>
      <c r="M133" s="122"/>
      <c r="N133" s="57">
        <f t="shared" si="36"/>
        <v>0</v>
      </c>
      <c r="O133" s="64"/>
      <c r="P133" s="57">
        <f t="shared" si="37"/>
        <v>0</v>
      </c>
      <c r="Q133" s="249"/>
      <c r="R133" s="57">
        <f t="shared" si="38"/>
        <v>0</v>
      </c>
      <c r="S133" s="59"/>
      <c r="T133" s="64"/>
      <c r="U133" s="57">
        <f t="shared" si="39"/>
        <v>0</v>
      </c>
      <c r="V133" s="57"/>
      <c r="W133" s="57">
        <f t="shared" si="40"/>
        <v>0</v>
      </c>
      <c r="X133" s="57"/>
    </row>
    <row r="134" spans="1:256" ht="16.5" thickBot="1">
      <c r="A134" s="56" t="s">
        <v>159</v>
      </c>
      <c r="B134" s="250" t="s">
        <v>160</v>
      </c>
      <c r="C134" s="56" t="s">
        <v>47</v>
      </c>
      <c r="D134" s="906">
        <f t="shared" si="41"/>
        <v>0</v>
      </c>
      <c r="E134" s="906">
        <f t="shared" si="42"/>
        <v>0</v>
      </c>
      <c r="F134" s="122"/>
      <c r="G134" s="122"/>
      <c r="H134" s="906">
        <f t="shared" si="34"/>
        <v>0</v>
      </c>
      <c r="I134" s="122"/>
      <c r="J134" s="122"/>
      <c r="K134" s="906">
        <f t="shared" si="35"/>
        <v>0</v>
      </c>
      <c r="L134" s="122"/>
      <c r="M134" s="122"/>
      <c r="N134" s="57">
        <f t="shared" si="36"/>
        <v>0</v>
      </c>
      <c r="O134" s="64"/>
      <c r="P134" s="57">
        <f t="shared" si="37"/>
        <v>0</v>
      </c>
      <c r="Q134" s="249"/>
      <c r="R134" s="57">
        <f t="shared" si="38"/>
        <v>0</v>
      </c>
      <c r="S134" s="59"/>
      <c r="T134" s="64"/>
      <c r="U134" s="57">
        <f t="shared" si="39"/>
        <v>0</v>
      </c>
      <c r="V134" s="57"/>
      <c r="W134" s="57">
        <f t="shared" si="40"/>
        <v>0</v>
      </c>
      <c r="X134" s="57"/>
    </row>
    <row r="135" spans="1:256" ht="16.5" thickBot="1">
      <c r="A135" s="71"/>
      <c r="B135" s="251"/>
      <c r="C135" s="71" t="s">
        <v>21</v>
      </c>
      <c r="D135" s="907">
        <f t="shared" si="41"/>
        <v>0</v>
      </c>
      <c r="E135" s="907">
        <f t="shared" si="42"/>
        <v>0</v>
      </c>
      <c r="F135" s="137"/>
      <c r="G135" s="137"/>
      <c r="H135" s="907">
        <f t="shared" si="34"/>
        <v>0</v>
      </c>
      <c r="I135" s="137"/>
      <c r="J135" s="137"/>
      <c r="K135" s="906">
        <f t="shared" si="35"/>
        <v>0</v>
      </c>
      <c r="L135" s="122"/>
      <c r="M135" s="122"/>
      <c r="N135" s="57">
        <f t="shared" si="36"/>
        <v>0</v>
      </c>
      <c r="O135" s="130"/>
      <c r="P135" s="57">
        <f t="shared" si="37"/>
        <v>0</v>
      </c>
      <c r="Q135" s="252"/>
      <c r="R135" s="57">
        <f t="shared" si="38"/>
        <v>0</v>
      </c>
      <c r="S135" s="129"/>
      <c r="T135" s="130"/>
      <c r="U135" s="57">
        <f t="shared" si="39"/>
        <v>0</v>
      </c>
      <c r="V135" s="72"/>
      <c r="W135" s="57">
        <f t="shared" si="40"/>
        <v>0</v>
      </c>
      <c r="X135" s="72"/>
    </row>
    <row r="136" spans="1:256" ht="16.5" thickBot="1">
      <c r="A136" s="17" t="s">
        <v>161</v>
      </c>
      <c r="B136" s="19" t="s">
        <v>162</v>
      </c>
      <c r="C136" s="17" t="s">
        <v>21</v>
      </c>
      <c r="D136" s="920">
        <f t="shared" si="41"/>
        <v>0</v>
      </c>
      <c r="E136" s="920">
        <f t="shared" si="42"/>
        <v>0</v>
      </c>
      <c r="F136" s="21"/>
      <c r="G136" s="21"/>
      <c r="H136" s="920">
        <f t="shared" si="34"/>
        <v>0</v>
      </c>
      <c r="I136" s="21"/>
      <c r="J136" s="21"/>
      <c r="K136" s="935">
        <f t="shared" si="35"/>
        <v>0</v>
      </c>
      <c r="L136" s="122"/>
      <c r="M136" s="122"/>
      <c r="N136" s="57">
        <f t="shared" si="36"/>
        <v>0</v>
      </c>
      <c r="O136" s="115"/>
      <c r="P136" s="57">
        <f t="shared" si="37"/>
        <v>0</v>
      </c>
      <c r="Q136" s="189"/>
      <c r="R136" s="57">
        <f t="shared" si="38"/>
        <v>0</v>
      </c>
      <c r="S136" s="221"/>
      <c r="T136" s="115"/>
      <c r="U136" s="57">
        <f t="shared" si="39"/>
        <v>0</v>
      </c>
      <c r="V136" s="253"/>
      <c r="W136" s="57">
        <f t="shared" si="40"/>
        <v>0</v>
      </c>
      <c r="X136" s="253"/>
    </row>
    <row r="137" spans="1:256" s="254" customFormat="1" ht="16.5" thickBot="1">
      <c r="A137" s="17" t="s">
        <v>163</v>
      </c>
      <c r="B137" s="19" t="s">
        <v>164</v>
      </c>
      <c r="C137" s="17" t="s">
        <v>21</v>
      </c>
      <c r="D137" s="920">
        <f t="shared" si="41"/>
        <v>0</v>
      </c>
      <c r="E137" s="920">
        <f t="shared" si="42"/>
        <v>0</v>
      </c>
      <c r="F137" s="21"/>
      <c r="G137" s="21"/>
      <c r="H137" s="920">
        <f t="shared" si="34"/>
        <v>0</v>
      </c>
      <c r="I137" s="21"/>
      <c r="J137" s="21"/>
      <c r="K137" s="935">
        <f t="shared" si="35"/>
        <v>0</v>
      </c>
      <c r="L137" s="122"/>
      <c r="M137" s="122"/>
      <c r="N137" s="57">
        <f t="shared" si="36"/>
        <v>0</v>
      </c>
      <c r="O137" s="119"/>
      <c r="P137" s="57">
        <f t="shared" si="37"/>
        <v>0</v>
      </c>
      <c r="Q137" s="190"/>
      <c r="R137" s="57">
        <f t="shared" si="38"/>
        <v>0</v>
      </c>
      <c r="S137" s="229"/>
      <c r="T137" s="119"/>
      <c r="U137" s="57">
        <f t="shared" si="39"/>
        <v>0</v>
      </c>
      <c r="V137" s="237"/>
      <c r="W137" s="57">
        <f t="shared" si="40"/>
        <v>0</v>
      </c>
      <c r="X137" s="237"/>
      <c r="FC137" s="255"/>
      <c r="FD137" s="255"/>
      <c r="FE137" s="255"/>
      <c r="FF137" s="255"/>
      <c r="FG137" s="255"/>
      <c r="FH137" s="255"/>
      <c r="FI137" s="255"/>
      <c r="FJ137" s="255"/>
      <c r="FK137" s="255"/>
      <c r="FL137" s="255"/>
      <c r="FM137" s="255"/>
      <c r="FN137" s="255"/>
      <c r="FO137" s="255"/>
      <c r="FP137" s="255"/>
      <c r="FQ137" s="255"/>
      <c r="FR137" s="255"/>
      <c r="FS137" s="255"/>
      <c r="FT137" s="255"/>
      <c r="FU137" s="255"/>
      <c r="FV137" s="255"/>
      <c r="FW137" s="255"/>
      <c r="FX137" s="255"/>
      <c r="FY137" s="255"/>
      <c r="FZ137" s="255"/>
      <c r="GA137" s="255"/>
      <c r="GB137" s="255"/>
      <c r="GC137" s="255"/>
      <c r="GD137" s="255"/>
      <c r="GE137" s="255"/>
      <c r="GF137" s="255"/>
      <c r="GG137" s="255"/>
      <c r="GH137" s="255"/>
      <c r="GI137" s="255"/>
      <c r="GJ137" s="255"/>
      <c r="GK137" s="255"/>
      <c r="GL137" s="255"/>
      <c r="GM137" s="255"/>
      <c r="GN137" s="255"/>
      <c r="GO137" s="255"/>
      <c r="GP137" s="255"/>
      <c r="GQ137" s="255"/>
      <c r="GR137" s="255"/>
      <c r="GS137" s="255"/>
      <c r="GT137" s="255"/>
      <c r="GU137" s="255"/>
      <c r="GV137" s="255"/>
      <c r="GW137" s="255"/>
      <c r="GX137" s="255"/>
      <c r="GY137" s="255"/>
      <c r="GZ137" s="255"/>
      <c r="HA137" s="255"/>
      <c r="HB137" s="255"/>
      <c r="HC137" s="255"/>
      <c r="HD137" s="255"/>
      <c r="HE137" s="255"/>
      <c r="HF137" s="255"/>
      <c r="HG137" s="255"/>
      <c r="HH137" s="255"/>
      <c r="HI137" s="255"/>
      <c r="HJ137" s="255"/>
      <c r="HK137" s="255"/>
      <c r="HL137" s="255"/>
      <c r="HM137" s="255"/>
      <c r="HN137" s="255"/>
      <c r="HO137" s="255"/>
      <c r="HP137" s="255"/>
      <c r="HQ137" s="255"/>
      <c r="HR137" s="255"/>
      <c r="HS137" s="255"/>
      <c r="HT137" s="255"/>
      <c r="HU137" s="255"/>
      <c r="HV137" s="255"/>
      <c r="HW137" s="255"/>
      <c r="HX137" s="255"/>
      <c r="HY137" s="255"/>
      <c r="HZ137" s="255"/>
      <c r="IA137" s="255"/>
      <c r="IB137" s="255"/>
      <c r="IC137" s="255"/>
      <c r="ID137" s="255"/>
      <c r="IE137" s="255"/>
      <c r="IF137" s="255"/>
      <c r="IG137" s="255"/>
      <c r="IH137" s="255"/>
      <c r="II137" s="255"/>
      <c r="IJ137" s="255"/>
      <c r="IK137" s="255"/>
      <c r="IL137" s="255"/>
      <c r="IM137" s="255"/>
      <c r="IN137" s="255"/>
      <c r="IO137" s="255"/>
      <c r="IP137" s="255"/>
      <c r="IQ137" s="255"/>
      <c r="IR137" s="255"/>
      <c r="IS137" s="255"/>
      <c r="IT137" s="255"/>
      <c r="IU137" s="255"/>
      <c r="IV137" s="255"/>
    </row>
    <row r="138" spans="1:256" ht="15.75">
      <c r="A138" s="17" t="s">
        <v>165</v>
      </c>
      <c r="B138" s="8" t="s">
        <v>166</v>
      </c>
      <c r="C138" s="17" t="s">
        <v>47</v>
      </c>
      <c r="D138" s="920">
        <f>H138+L138</f>
        <v>3000</v>
      </c>
      <c r="E138" s="920">
        <f t="shared" ref="E138:G139" si="43">E140+E142+E144+E146+E148+E150+E152+E154</f>
        <v>0</v>
      </c>
      <c r="F138" s="618">
        <f t="shared" si="43"/>
        <v>0</v>
      </c>
      <c r="G138" s="618">
        <f t="shared" si="43"/>
        <v>0</v>
      </c>
      <c r="H138" s="920">
        <f>I138</f>
        <v>2810</v>
      </c>
      <c r="I138" s="618">
        <v>2810</v>
      </c>
      <c r="J138" s="618">
        <f>J140+J142+J144+J146+J148+J150+J152+J154</f>
        <v>0</v>
      </c>
      <c r="K138" s="936">
        <f>K148</f>
        <v>190</v>
      </c>
      <c r="L138" s="623">
        <v>190</v>
      </c>
      <c r="M138" s="623"/>
      <c r="N138" s="53">
        <f t="shared" ref="N138:X138" si="44">N140+N142+N144+N146+N148+N150+N152+N154</f>
        <v>0</v>
      </c>
      <c r="O138" s="53">
        <f t="shared" si="44"/>
        <v>0</v>
      </c>
      <c r="P138" s="53">
        <f t="shared" si="44"/>
        <v>0</v>
      </c>
      <c r="Q138" s="53">
        <f t="shared" si="44"/>
        <v>0</v>
      </c>
      <c r="R138" s="53">
        <f t="shared" si="44"/>
        <v>0</v>
      </c>
      <c r="S138" s="53">
        <f t="shared" si="44"/>
        <v>0</v>
      </c>
      <c r="T138" s="53">
        <f t="shared" si="44"/>
        <v>0</v>
      </c>
      <c r="U138" s="53">
        <f t="shared" si="44"/>
        <v>0</v>
      </c>
      <c r="V138" s="53">
        <f t="shared" si="44"/>
        <v>0</v>
      </c>
      <c r="W138" s="53">
        <f t="shared" si="44"/>
        <v>0</v>
      </c>
      <c r="X138" s="53">
        <f t="shared" si="44"/>
        <v>0</v>
      </c>
    </row>
    <row r="139" spans="1:256" ht="16.5" thickBot="1">
      <c r="A139" s="17"/>
      <c r="B139" s="8" t="s">
        <v>84</v>
      </c>
      <c r="C139" s="17" t="s">
        <v>21</v>
      </c>
      <c r="D139" s="920">
        <f>H139+K139</f>
        <v>30.45</v>
      </c>
      <c r="E139" s="920">
        <f t="shared" si="43"/>
        <v>0</v>
      </c>
      <c r="F139" s="618">
        <f t="shared" si="43"/>
        <v>0</v>
      </c>
      <c r="G139" s="618">
        <f t="shared" si="43"/>
        <v>0</v>
      </c>
      <c r="H139" s="920">
        <f>I139</f>
        <v>28.398</v>
      </c>
      <c r="I139" s="618">
        <f>I149</f>
        <v>28.398</v>
      </c>
      <c r="J139" s="618">
        <f>J141+J143+J145+J147+J149+J151+J153+J155</f>
        <v>0</v>
      </c>
      <c r="K139" s="936">
        <f>K149</f>
        <v>2.052</v>
      </c>
      <c r="L139" s="623">
        <f>L149</f>
        <v>2.052</v>
      </c>
      <c r="M139" s="623"/>
      <c r="N139" s="53">
        <f t="shared" ref="N139:X139" si="45">N141+N143+N145+N147+N149+N151+N153+N155</f>
        <v>0</v>
      </c>
      <c r="O139" s="53">
        <f t="shared" si="45"/>
        <v>0</v>
      </c>
      <c r="P139" s="53">
        <f t="shared" si="45"/>
        <v>0</v>
      </c>
      <c r="Q139" s="53">
        <f t="shared" si="45"/>
        <v>0</v>
      </c>
      <c r="R139" s="53">
        <f t="shared" si="45"/>
        <v>0</v>
      </c>
      <c r="S139" s="53">
        <f t="shared" si="45"/>
        <v>0</v>
      </c>
      <c r="T139" s="53">
        <f t="shared" si="45"/>
        <v>0</v>
      </c>
      <c r="U139" s="53">
        <f t="shared" si="45"/>
        <v>0</v>
      </c>
      <c r="V139" s="53">
        <f t="shared" si="45"/>
        <v>0</v>
      </c>
      <c r="W139" s="53">
        <f t="shared" si="45"/>
        <v>0</v>
      </c>
      <c r="X139" s="53">
        <f t="shared" si="45"/>
        <v>0</v>
      </c>
    </row>
    <row r="140" spans="1:256" ht="16.5" thickBot="1">
      <c r="A140" s="17" t="s">
        <v>167</v>
      </c>
      <c r="B140" s="19" t="s">
        <v>168</v>
      </c>
      <c r="C140" s="17" t="s">
        <v>47</v>
      </c>
      <c r="D140" s="920">
        <f t="shared" ref="D140" si="46">E140+H140+K140+N140+P140+R140+U140+W140</f>
        <v>0</v>
      </c>
      <c r="E140" s="920">
        <f t="shared" ref="E140:E155" si="47">F140+G140</f>
        <v>0</v>
      </c>
      <c r="F140" s="621"/>
      <c r="G140" s="621"/>
      <c r="H140" s="931">
        <v>0</v>
      </c>
      <c r="I140" s="621"/>
      <c r="J140" s="621"/>
      <c r="K140" s="935">
        <f t="shared" ref="K140:K155" si="48">L140+M140</f>
        <v>0</v>
      </c>
      <c r="L140" s="624"/>
      <c r="M140" s="624"/>
      <c r="N140" s="57">
        <f t="shared" ref="N140:N155" si="49">O140</f>
        <v>0</v>
      </c>
      <c r="O140" s="256"/>
      <c r="P140" s="57">
        <f t="shared" ref="P140:P155" si="50">Q140</f>
        <v>0</v>
      </c>
      <c r="Q140" s="66"/>
      <c r="R140" s="57">
        <f t="shared" ref="R140:R155" si="51">S140+T140</f>
        <v>0</v>
      </c>
      <c r="S140" s="59"/>
      <c r="T140" s="57"/>
      <c r="U140" s="57">
        <f t="shared" ref="U140:U155" si="52">V140</f>
        <v>0</v>
      </c>
      <c r="V140" s="57"/>
      <c r="W140" s="57">
        <f t="shared" ref="W140:W155" si="53">X140</f>
        <v>0</v>
      </c>
      <c r="X140" s="57"/>
    </row>
    <row r="141" spans="1:256" ht="16.5" thickBot="1">
      <c r="A141" s="17"/>
      <c r="B141" s="19"/>
      <c r="C141" s="17" t="s">
        <v>21</v>
      </c>
      <c r="D141" s="920">
        <f>E141+H143+K141+N141+P141+R141+U141+W141</f>
        <v>0</v>
      </c>
      <c r="E141" s="920">
        <f t="shared" si="47"/>
        <v>0</v>
      </c>
      <c r="F141" s="621"/>
      <c r="G141" s="621"/>
      <c r="H141" s="931">
        <v>0</v>
      </c>
      <c r="I141" s="621"/>
      <c r="J141" s="621"/>
      <c r="K141" s="935">
        <f t="shared" si="48"/>
        <v>0</v>
      </c>
      <c r="L141" s="624"/>
      <c r="M141" s="624"/>
      <c r="N141" s="57">
        <f t="shared" si="49"/>
        <v>0</v>
      </c>
      <c r="O141" s="256"/>
      <c r="P141" s="57">
        <f t="shared" si="50"/>
        <v>0</v>
      </c>
      <c r="Q141" s="66"/>
      <c r="R141" s="57">
        <f t="shared" si="51"/>
        <v>0</v>
      </c>
      <c r="S141" s="59"/>
      <c r="T141" s="57"/>
      <c r="U141" s="57">
        <f t="shared" si="52"/>
        <v>0</v>
      </c>
      <c r="V141" s="57"/>
      <c r="W141" s="57">
        <f t="shared" si="53"/>
        <v>0</v>
      </c>
      <c r="X141" s="57"/>
    </row>
    <row r="142" spans="1:256" s="6" customFormat="1" ht="16.5" thickBot="1">
      <c r="A142" s="17" t="s">
        <v>169</v>
      </c>
      <c r="B142" s="19" t="s">
        <v>170</v>
      </c>
      <c r="C142" s="17" t="s">
        <v>47</v>
      </c>
      <c r="D142" s="920">
        <f>E142+I142+K142+N142+P142+R142+U142+W142</f>
        <v>0</v>
      </c>
      <c r="E142" s="920">
        <f t="shared" si="47"/>
        <v>0</v>
      </c>
      <c r="F142" s="621"/>
      <c r="G142" s="621"/>
      <c r="H142" s="931">
        <v>0</v>
      </c>
      <c r="I142" s="621"/>
      <c r="J142" s="621"/>
      <c r="K142" s="935">
        <f t="shared" si="48"/>
        <v>0</v>
      </c>
      <c r="L142" s="624"/>
      <c r="M142" s="624"/>
      <c r="N142" s="57">
        <f t="shared" si="49"/>
        <v>0</v>
      </c>
      <c r="O142" s="256"/>
      <c r="P142" s="57">
        <f t="shared" si="50"/>
        <v>0</v>
      </c>
      <c r="Q142" s="66"/>
      <c r="R142" s="57">
        <f t="shared" si="51"/>
        <v>0</v>
      </c>
      <c r="S142" s="59"/>
      <c r="T142" s="57"/>
      <c r="U142" s="57">
        <f t="shared" si="52"/>
        <v>0</v>
      </c>
      <c r="V142" s="57"/>
      <c r="W142" s="57">
        <f t="shared" si="53"/>
        <v>0</v>
      </c>
      <c r="X142" s="57"/>
    </row>
    <row r="143" spans="1:256" s="6" customFormat="1" ht="16.5" thickBot="1">
      <c r="A143" s="17"/>
      <c r="B143" s="19"/>
      <c r="C143" s="17" t="s">
        <v>21</v>
      </c>
      <c r="D143" s="920">
        <f>E143+I143+K143+N143+P143+R143+U143+W143</f>
        <v>0</v>
      </c>
      <c r="E143" s="920">
        <f t="shared" si="47"/>
        <v>0</v>
      </c>
      <c r="F143" s="621"/>
      <c r="G143" s="621"/>
      <c r="H143" s="931">
        <v>0</v>
      </c>
      <c r="I143" s="621"/>
      <c r="J143" s="621"/>
      <c r="K143" s="935">
        <f t="shared" si="48"/>
        <v>0</v>
      </c>
      <c r="L143" s="624"/>
      <c r="M143" s="624"/>
      <c r="N143" s="57">
        <f t="shared" si="49"/>
        <v>0</v>
      </c>
      <c r="O143" s="256"/>
      <c r="P143" s="57">
        <f t="shared" si="50"/>
        <v>0</v>
      </c>
      <c r="Q143" s="66"/>
      <c r="R143" s="57">
        <f t="shared" si="51"/>
        <v>0</v>
      </c>
      <c r="S143" s="59"/>
      <c r="T143" s="57"/>
      <c r="U143" s="57">
        <f t="shared" si="52"/>
        <v>0</v>
      </c>
      <c r="V143" s="57"/>
      <c r="W143" s="57">
        <f t="shared" si="53"/>
        <v>0</v>
      </c>
      <c r="X143" s="57"/>
    </row>
    <row r="144" spans="1:256" s="6" customFormat="1" ht="16.5" thickBot="1">
      <c r="A144" s="17" t="s">
        <v>171</v>
      </c>
      <c r="B144" s="19" t="s">
        <v>172</v>
      </c>
      <c r="C144" s="17" t="s">
        <v>47</v>
      </c>
      <c r="D144" s="920">
        <f>E144+I144+K144+N144+P144+R144+U144+W144</f>
        <v>0</v>
      </c>
      <c r="E144" s="920">
        <f t="shared" si="47"/>
        <v>0</v>
      </c>
      <c r="F144" s="621"/>
      <c r="G144" s="621"/>
      <c r="H144" s="931">
        <v>0</v>
      </c>
      <c r="I144" s="621"/>
      <c r="J144" s="621"/>
      <c r="K144" s="935">
        <f t="shared" si="48"/>
        <v>0</v>
      </c>
      <c r="L144" s="624"/>
      <c r="M144" s="624"/>
      <c r="N144" s="57">
        <f t="shared" si="49"/>
        <v>0</v>
      </c>
      <c r="O144" s="256"/>
      <c r="P144" s="57">
        <f t="shared" si="50"/>
        <v>0</v>
      </c>
      <c r="Q144" s="66"/>
      <c r="R144" s="57">
        <f t="shared" si="51"/>
        <v>0</v>
      </c>
      <c r="S144" s="59"/>
      <c r="T144" s="57"/>
      <c r="U144" s="57">
        <f t="shared" si="52"/>
        <v>0</v>
      </c>
      <c r="V144" s="57"/>
      <c r="W144" s="57">
        <f t="shared" si="53"/>
        <v>0</v>
      </c>
      <c r="X144" s="57"/>
    </row>
    <row r="145" spans="1:24" s="6" customFormat="1" ht="16.5" thickBot="1">
      <c r="A145" s="17"/>
      <c r="B145" s="19"/>
      <c r="C145" s="17" t="s">
        <v>21</v>
      </c>
      <c r="D145" s="920">
        <f>E145+I145+K145+N145+P145+R145+U145+W145</f>
        <v>0</v>
      </c>
      <c r="E145" s="920">
        <f t="shared" si="47"/>
        <v>0</v>
      </c>
      <c r="F145" s="621"/>
      <c r="G145" s="621"/>
      <c r="H145" s="931">
        <v>0</v>
      </c>
      <c r="I145" s="621"/>
      <c r="J145" s="621"/>
      <c r="K145" s="935"/>
      <c r="L145" s="624"/>
      <c r="M145" s="624"/>
      <c r="N145" s="57">
        <f t="shared" si="49"/>
        <v>0</v>
      </c>
      <c r="O145" s="256"/>
      <c r="P145" s="57">
        <f t="shared" si="50"/>
        <v>0</v>
      </c>
      <c r="Q145" s="66"/>
      <c r="R145" s="57">
        <f t="shared" si="51"/>
        <v>0</v>
      </c>
      <c r="S145" s="59"/>
      <c r="T145" s="57"/>
      <c r="U145" s="57">
        <f t="shared" si="52"/>
        <v>0</v>
      </c>
      <c r="V145" s="57"/>
      <c r="W145" s="57">
        <f t="shared" si="53"/>
        <v>0</v>
      </c>
      <c r="X145" s="57"/>
    </row>
    <row r="146" spans="1:24" s="6" customFormat="1" ht="16.5" thickBot="1">
      <c r="A146" s="17" t="s">
        <v>173</v>
      </c>
      <c r="B146" s="19" t="s">
        <v>174</v>
      </c>
      <c r="C146" s="17" t="s">
        <v>47</v>
      </c>
      <c r="D146" s="920">
        <v>0</v>
      </c>
      <c r="E146" s="920">
        <f t="shared" si="47"/>
        <v>0</v>
      </c>
      <c r="F146" s="621"/>
      <c r="G146" s="621"/>
      <c r="H146" s="931">
        <v>0</v>
      </c>
      <c r="I146" s="621"/>
      <c r="J146" s="621"/>
      <c r="K146" s="935">
        <f t="shared" si="48"/>
        <v>0</v>
      </c>
      <c r="L146" s="624"/>
      <c r="M146" s="624"/>
      <c r="N146" s="57">
        <f t="shared" si="49"/>
        <v>0</v>
      </c>
      <c r="O146" s="256"/>
      <c r="P146" s="57">
        <f t="shared" si="50"/>
        <v>0</v>
      </c>
      <c r="Q146" s="66"/>
      <c r="R146" s="57">
        <f t="shared" si="51"/>
        <v>0</v>
      </c>
      <c r="S146" s="59"/>
      <c r="T146" s="57"/>
      <c r="U146" s="57">
        <f t="shared" si="52"/>
        <v>0</v>
      </c>
      <c r="V146" s="57"/>
      <c r="W146" s="57">
        <f t="shared" si="53"/>
        <v>0</v>
      </c>
      <c r="X146" s="57"/>
    </row>
    <row r="147" spans="1:24" s="6" customFormat="1" ht="16.5" thickBot="1">
      <c r="A147" s="17"/>
      <c r="B147" s="19"/>
      <c r="C147" s="17" t="s">
        <v>21</v>
      </c>
      <c r="D147" s="920">
        <v>0</v>
      </c>
      <c r="E147" s="920">
        <f t="shared" si="47"/>
        <v>0</v>
      </c>
      <c r="F147" s="621"/>
      <c r="G147" s="621"/>
      <c r="H147" s="931">
        <v>0</v>
      </c>
      <c r="I147" s="621"/>
      <c r="J147" s="621"/>
      <c r="K147" s="935">
        <f t="shared" si="48"/>
        <v>0</v>
      </c>
      <c r="L147" s="624"/>
      <c r="M147" s="624"/>
      <c r="N147" s="57">
        <f t="shared" si="49"/>
        <v>0</v>
      </c>
      <c r="O147" s="256"/>
      <c r="P147" s="57">
        <f t="shared" si="50"/>
        <v>0</v>
      </c>
      <c r="Q147" s="75"/>
      <c r="R147" s="57">
        <f t="shared" si="51"/>
        <v>0</v>
      </c>
      <c r="S147" s="129"/>
      <c r="T147" s="72"/>
      <c r="U147" s="57">
        <f t="shared" si="52"/>
        <v>0</v>
      </c>
      <c r="V147" s="72"/>
      <c r="W147" s="57">
        <f t="shared" si="53"/>
        <v>0</v>
      </c>
      <c r="X147" s="72"/>
    </row>
    <row r="148" spans="1:24" s="6" customFormat="1" ht="16.5" thickBot="1">
      <c r="A148" s="17" t="s">
        <v>175</v>
      </c>
      <c r="B148" s="19" t="s">
        <v>176</v>
      </c>
      <c r="C148" s="17" t="s">
        <v>47</v>
      </c>
      <c r="D148" s="920">
        <f t="shared" ref="D148:D155" si="54">E148+H148+K148+N148+P148+R148+U148+W148</f>
        <v>3000</v>
      </c>
      <c r="E148" s="920">
        <f t="shared" si="47"/>
        <v>0</v>
      </c>
      <c r="F148" s="621"/>
      <c r="G148" s="621"/>
      <c r="H148" s="931">
        <f>I148</f>
        <v>2810</v>
      </c>
      <c r="I148" s="621">
        <v>2810</v>
      </c>
      <c r="J148" s="621"/>
      <c r="K148" s="935">
        <f>L148+M148</f>
        <v>190</v>
      </c>
      <c r="L148" s="624">
        <v>190</v>
      </c>
      <c r="M148" s="624"/>
      <c r="N148" s="57">
        <f t="shared" si="49"/>
        <v>0</v>
      </c>
      <c r="O148" s="256"/>
      <c r="P148" s="57">
        <f t="shared" si="50"/>
        <v>0</v>
      </c>
      <c r="Q148" s="66"/>
      <c r="R148" s="57">
        <f t="shared" si="51"/>
        <v>0</v>
      </c>
      <c r="S148" s="59"/>
      <c r="T148" s="57"/>
      <c r="U148" s="57">
        <f t="shared" si="52"/>
        <v>0</v>
      </c>
      <c r="V148" s="57"/>
      <c r="W148" s="57">
        <f t="shared" si="53"/>
        <v>0</v>
      </c>
      <c r="X148" s="57"/>
    </row>
    <row r="149" spans="1:24" s="6" customFormat="1" ht="16.5" thickBot="1">
      <c r="A149" s="17"/>
      <c r="B149" s="19"/>
      <c r="C149" s="17" t="s">
        <v>21</v>
      </c>
      <c r="D149" s="920">
        <f t="shared" si="54"/>
        <v>30.45</v>
      </c>
      <c r="E149" s="920">
        <f t="shared" si="47"/>
        <v>0</v>
      </c>
      <c r="F149" s="621"/>
      <c r="G149" s="621"/>
      <c r="H149" s="931">
        <f>I149</f>
        <v>28.398</v>
      </c>
      <c r="I149" s="621">
        <v>28.398</v>
      </c>
      <c r="J149" s="621"/>
      <c r="K149" s="935">
        <f>L149+M149</f>
        <v>2.052</v>
      </c>
      <c r="L149" s="624">
        <v>2.052</v>
      </c>
      <c r="M149" s="624"/>
      <c r="N149" s="57">
        <f t="shared" si="49"/>
        <v>0</v>
      </c>
      <c r="O149" s="256"/>
      <c r="P149" s="57">
        <f t="shared" si="50"/>
        <v>0</v>
      </c>
      <c r="Q149" s="66"/>
      <c r="R149" s="57">
        <f t="shared" si="51"/>
        <v>0</v>
      </c>
      <c r="S149" s="59"/>
      <c r="T149" s="57"/>
      <c r="U149" s="57">
        <f t="shared" si="52"/>
        <v>0</v>
      </c>
      <c r="V149" s="57"/>
      <c r="W149" s="57">
        <f t="shared" si="53"/>
        <v>0</v>
      </c>
      <c r="X149" s="57"/>
    </row>
    <row r="150" spans="1:24" s="6" customFormat="1" ht="16.5" thickBot="1">
      <c r="A150" s="17" t="s">
        <v>177</v>
      </c>
      <c r="B150" s="19" t="s">
        <v>178</v>
      </c>
      <c r="C150" s="17" t="s">
        <v>47</v>
      </c>
      <c r="D150" s="920">
        <f t="shared" si="54"/>
        <v>0</v>
      </c>
      <c r="E150" s="920">
        <f t="shared" si="47"/>
        <v>0</v>
      </c>
      <c r="F150" s="621"/>
      <c r="G150" s="621"/>
      <c r="H150" s="931">
        <v>0</v>
      </c>
      <c r="I150" s="621"/>
      <c r="J150" s="621"/>
      <c r="K150" s="935">
        <f t="shared" si="48"/>
        <v>0</v>
      </c>
      <c r="L150" s="624"/>
      <c r="M150" s="624"/>
      <c r="N150" s="57">
        <f t="shared" si="49"/>
        <v>0</v>
      </c>
      <c r="O150" s="256"/>
      <c r="P150" s="57">
        <f t="shared" si="50"/>
        <v>0</v>
      </c>
      <c r="Q150" s="66"/>
      <c r="R150" s="57">
        <f t="shared" si="51"/>
        <v>0</v>
      </c>
      <c r="S150" s="59"/>
      <c r="T150" s="57"/>
      <c r="U150" s="57">
        <f t="shared" si="52"/>
        <v>0</v>
      </c>
      <c r="V150" s="57"/>
      <c r="W150" s="57">
        <f t="shared" si="53"/>
        <v>0</v>
      </c>
      <c r="X150" s="57"/>
    </row>
    <row r="151" spans="1:24" s="6" customFormat="1" ht="16.5" thickBot="1">
      <c r="A151" s="17"/>
      <c r="B151" s="19"/>
      <c r="C151" s="17" t="s">
        <v>21</v>
      </c>
      <c r="D151" s="920">
        <f t="shared" si="54"/>
        <v>0</v>
      </c>
      <c r="E151" s="920">
        <f t="shared" si="47"/>
        <v>0</v>
      </c>
      <c r="F151" s="621"/>
      <c r="G151" s="621"/>
      <c r="H151" s="931">
        <v>0</v>
      </c>
      <c r="I151" s="621"/>
      <c r="J151" s="621"/>
      <c r="K151" s="935">
        <f t="shared" si="48"/>
        <v>0</v>
      </c>
      <c r="L151" s="624"/>
      <c r="M151" s="624"/>
      <c r="N151" s="57">
        <f t="shared" si="49"/>
        <v>0</v>
      </c>
      <c r="O151" s="256"/>
      <c r="P151" s="57">
        <f t="shared" si="50"/>
        <v>0</v>
      </c>
      <c r="Q151" s="66"/>
      <c r="R151" s="57">
        <f t="shared" si="51"/>
        <v>0</v>
      </c>
      <c r="S151" s="59"/>
      <c r="T151" s="57"/>
      <c r="U151" s="57">
        <f t="shared" si="52"/>
        <v>0</v>
      </c>
      <c r="V151" s="57"/>
      <c r="W151" s="57">
        <f t="shared" si="53"/>
        <v>0</v>
      </c>
      <c r="X151" s="57"/>
    </row>
    <row r="152" spans="1:24" s="6" customFormat="1" ht="16.5" thickBot="1">
      <c r="A152" s="17" t="s">
        <v>179</v>
      </c>
      <c r="B152" s="19" t="s">
        <v>180</v>
      </c>
      <c r="C152" s="17" t="s">
        <v>47</v>
      </c>
      <c r="D152" s="920">
        <f>E152+I152+K152+N152+P152+R152+U152+W152</f>
        <v>0</v>
      </c>
      <c r="E152" s="920">
        <f t="shared" si="47"/>
        <v>0</v>
      </c>
      <c r="F152" s="621"/>
      <c r="G152" s="621"/>
      <c r="H152" s="931">
        <v>0</v>
      </c>
      <c r="I152" s="621"/>
      <c r="J152" s="621"/>
      <c r="K152" s="935">
        <f t="shared" si="48"/>
        <v>0</v>
      </c>
      <c r="L152" s="624"/>
      <c r="M152" s="624"/>
      <c r="N152" s="57">
        <f t="shared" si="49"/>
        <v>0</v>
      </c>
      <c r="O152" s="256"/>
      <c r="P152" s="57">
        <f t="shared" si="50"/>
        <v>0</v>
      </c>
      <c r="Q152" s="66"/>
      <c r="R152" s="57">
        <f t="shared" si="51"/>
        <v>0</v>
      </c>
      <c r="S152" s="59"/>
      <c r="T152" s="57"/>
      <c r="U152" s="57">
        <f t="shared" si="52"/>
        <v>0</v>
      </c>
      <c r="V152" s="57"/>
      <c r="W152" s="57">
        <f t="shared" si="53"/>
        <v>0</v>
      </c>
      <c r="X152" s="57"/>
    </row>
    <row r="153" spans="1:24" s="6" customFormat="1" ht="16.5" thickBot="1">
      <c r="A153" s="17"/>
      <c r="B153" s="19"/>
      <c r="C153" s="17" t="s">
        <v>21</v>
      </c>
      <c r="D153" s="920">
        <f>E153+I153+K153+N153+P153+R153+U153+W153</f>
        <v>0</v>
      </c>
      <c r="E153" s="920">
        <f t="shared" si="47"/>
        <v>0</v>
      </c>
      <c r="F153" s="621"/>
      <c r="G153" s="621"/>
      <c r="H153" s="931">
        <v>0</v>
      </c>
      <c r="I153" s="621"/>
      <c r="J153" s="621"/>
      <c r="K153" s="935">
        <f t="shared" si="48"/>
        <v>0</v>
      </c>
      <c r="L153" s="624"/>
      <c r="M153" s="624"/>
      <c r="N153" s="57">
        <f t="shared" si="49"/>
        <v>0</v>
      </c>
      <c r="O153" s="256"/>
      <c r="P153" s="57">
        <f t="shared" si="50"/>
        <v>0</v>
      </c>
      <c r="Q153" s="66"/>
      <c r="R153" s="57">
        <f t="shared" si="51"/>
        <v>0</v>
      </c>
      <c r="S153" s="59"/>
      <c r="T153" s="57"/>
      <c r="U153" s="57">
        <f t="shared" si="52"/>
        <v>0</v>
      </c>
      <c r="V153" s="57"/>
      <c r="W153" s="57">
        <f t="shared" si="53"/>
        <v>0</v>
      </c>
      <c r="X153" s="57"/>
    </row>
    <row r="154" spans="1:24" s="6" customFormat="1" ht="16.5" thickBot="1">
      <c r="A154" s="17" t="s">
        <v>181</v>
      </c>
      <c r="B154" s="19" t="s">
        <v>182</v>
      </c>
      <c r="C154" s="17" t="s">
        <v>47</v>
      </c>
      <c r="D154" s="920">
        <f t="shared" si="54"/>
        <v>0</v>
      </c>
      <c r="E154" s="920">
        <f t="shared" si="47"/>
        <v>0</v>
      </c>
      <c r="F154" s="621"/>
      <c r="G154" s="621"/>
      <c r="H154" s="931">
        <v>0</v>
      </c>
      <c r="I154" s="621"/>
      <c r="J154" s="621"/>
      <c r="K154" s="935">
        <f t="shared" si="48"/>
        <v>0</v>
      </c>
      <c r="L154" s="624"/>
      <c r="M154" s="624"/>
      <c r="N154" s="57">
        <f t="shared" si="49"/>
        <v>0</v>
      </c>
      <c r="O154" s="257"/>
      <c r="P154" s="57">
        <f t="shared" si="50"/>
        <v>0</v>
      </c>
      <c r="Q154" s="66"/>
      <c r="R154" s="57">
        <f t="shared" si="51"/>
        <v>0</v>
      </c>
      <c r="S154" s="59"/>
      <c r="T154" s="57"/>
      <c r="U154" s="57">
        <f t="shared" si="52"/>
        <v>0</v>
      </c>
      <c r="V154" s="57"/>
      <c r="W154" s="57">
        <f t="shared" si="53"/>
        <v>0</v>
      </c>
      <c r="X154" s="57"/>
    </row>
    <row r="155" spans="1:24" s="6" customFormat="1" ht="16.5" thickBot="1">
      <c r="A155" s="17"/>
      <c r="B155" s="19"/>
      <c r="C155" s="17" t="s">
        <v>21</v>
      </c>
      <c r="D155" s="920">
        <f t="shared" si="54"/>
        <v>0</v>
      </c>
      <c r="E155" s="920">
        <f t="shared" si="47"/>
        <v>0</v>
      </c>
      <c r="F155" s="621"/>
      <c r="G155" s="621"/>
      <c r="H155" s="931">
        <v>0</v>
      </c>
      <c r="I155" s="621"/>
      <c r="J155" s="621"/>
      <c r="K155" s="935">
        <f t="shared" si="48"/>
        <v>0</v>
      </c>
      <c r="L155" s="624"/>
      <c r="M155" s="624"/>
      <c r="N155" s="57">
        <f t="shared" si="49"/>
        <v>0</v>
      </c>
      <c r="O155" s="190"/>
      <c r="P155" s="57">
        <f t="shared" si="50"/>
        <v>0</v>
      </c>
      <c r="Q155" s="148"/>
      <c r="R155" s="57">
        <f t="shared" si="51"/>
        <v>0</v>
      </c>
      <c r="S155" s="143"/>
      <c r="T155" s="121"/>
      <c r="U155" s="57">
        <f t="shared" si="52"/>
        <v>0</v>
      </c>
      <c r="V155" s="121"/>
      <c r="W155" s="57">
        <f t="shared" si="53"/>
        <v>0</v>
      </c>
      <c r="X155" s="121"/>
    </row>
    <row r="156" spans="1:24" s="6" customFormat="1" ht="43.5" customHeight="1">
      <c r="A156" s="5" t="s">
        <v>211</v>
      </c>
      <c r="B156" s="5"/>
      <c r="C156" s="5"/>
      <c r="D156" s="921"/>
      <c r="E156" s="921"/>
      <c r="H156" s="922"/>
      <c r="K156" s="922"/>
    </row>
    <row r="157" spans="1:24" s="6" customFormat="1">
      <c r="A157" s="1748" t="s">
        <v>212</v>
      </c>
      <c r="B157" s="1748"/>
      <c r="C157" s="1748"/>
      <c r="D157" s="1748"/>
      <c r="E157" s="922"/>
      <c r="H157" s="922"/>
      <c r="K157" s="922"/>
    </row>
    <row r="158" spans="1:24" s="6" customFormat="1">
      <c r="A158" s="7"/>
      <c r="D158" s="922"/>
      <c r="E158" s="922"/>
      <c r="H158" s="922"/>
      <c r="K158" s="922"/>
    </row>
    <row r="159" spans="1:24" s="6" customFormat="1">
      <c r="A159" s="5" t="s">
        <v>213</v>
      </c>
      <c r="B159" s="5"/>
      <c r="C159" s="5"/>
      <c r="D159" s="921"/>
      <c r="E159" s="921"/>
      <c r="H159" s="922"/>
      <c r="K159" s="922"/>
    </row>
    <row r="162" ht="6" customHeight="1"/>
  </sheetData>
  <mergeCells count="27">
    <mergeCell ref="A6:M6"/>
    <mergeCell ref="T1:X1"/>
    <mergeCell ref="T2:X2"/>
    <mergeCell ref="T3:X3"/>
    <mergeCell ref="T4:X4"/>
    <mergeCell ref="T5:X5"/>
    <mergeCell ref="I1:K1"/>
    <mergeCell ref="I2:K2"/>
    <mergeCell ref="I3:K3"/>
    <mergeCell ref="I4:K4"/>
    <mergeCell ref="I5:L5"/>
    <mergeCell ref="A13:A15"/>
    <mergeCell ref="A100:T100"/>
    <mergeCell ref="A157:D157"/>
    <mergeCell ref="U9:V10"/>
    <mergeCell ref="W9:X10"/>
    <mergeCell ref="E10:G10"/>
    <mergeCell ref="H10:J10"/>
    <mergeCell ref="K10:M10"/>
    <mergeCell ref="N10:O10"/>
    <mergeCell ref="P10:Q10"/>
    <mergeCell ref="A9:A11"/>
    <mergeCell ref="B9:B11"/>
    <mergeCell ref="C9:C11"/>
    <mergeCell ref="D9:D11"/>
    <mergeCell ref="E9:Q9"/>
    <mergeCell ref="R9:T10"/>
  </mergeCells>
  <pageMargins left="0.70866141732283472" right="0.31496062992125984" top="0.74803149606299213" bottom="0.35433070866141736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163"/>
  <sheetViews>
    <sheetView zoomScale="80" zoomScaleNormal="80" workbookViewId="0">
      <pane xSplit="7" ySplit="13" topLeftCell="H93" activePane="bottomRight" state="frozen"/>
      <selection pane="topRight" activeCell="H1" sqref="H1"/>
      <selection pane="bottomLeft" activeCell="A14" sqref="A14"/>
      <selection pane="bottomRight" activeCell="Q13" sqref="Q13"/>
    </sheetView>
  </sheetViews>
  <sheetFormatPr defaultColWidth="8.85546875" defaultRowHeight="15"/>
  <cols>
    <col min="1" max="1" width="9.7109375" style="9" customWidth="1"/>
    <col min="2" max="2" width="68.5703125" style="9" customWidth="1"/>
    <col min="3" max="3" width="10.7109375" style="9" customWidth="1"/>
    <col min="4" max="4" width="11.140625" style="899" customWidth="1"/>
    <col min="5" max="5" width="2.7109375" style="899" customWidth="1"/>
    <col min="6" max="7" width="8.85546875" style="923" customWidth="1"/>
    <col min="8" max="8" width="10" style="923" customWidth="1"/>
    <col min="9" max="9" width="10.28515625" style="9" customWidth="1"/>
    <col min="10" max="10" width="11.28515625" style="9" customWidth="1"/>
    <col min="11" max="11" width="11.5703125" style="899" customWidth="1"/>
    <col min="12" max="12" width="9.85546875" style="9" customWidth="1"/>
    <col min="13" max="13" width="10.28515625" style="9" customWidth="1"/>
    <col min="14" max="14" width="8.85546875" style="9"/>
    <col min="15" max="15" width="12.140625" style="9" bestFit="1" customWidth="1"/>
    <col min="16" max="16" width="8.85546875" style="10"/>
    <col min="17" max="17" width="8.85546875" style="9"/>
    <col min="18" max="19" width="8.85546875" style="10"/>
    <col min="20" max="20" width="8.85546875" style="9"/>
    <col min="21" max="24" width="8.85546875" style="10"/>
    <col min="25" max="27" width="9.140625" style="6" customWidth="1"/>
    <col min="28" max="256" width="8.85546875" style="9"/>
    <col min="257" max="257" width="9.7109375" style="9" customWidth="1"/>
    <col min="258" max="258" width="68.5703125" style="9" customWidth="1"/>
    <col min="259" max="259" width="10.7109375" style="9" customWidth="1"/>
    <col min="260" max="260" width="11.140625" style="9" customWidth="1"/>
    <col min="261" max="261" width="0.7109375" style="9" customWidth="1"/>
    <col min="262" max="263" width="0" style="9" hidden="1" customWidth="1"/>
    <col min="264" max="264" width="10" style="9" customWidth="1"/>
    <col min="265" max="265" width="10.28515625" style="9" customWidth="1"/>
    <col min="266" max="266" width="11.28515625" style="9" customWidth="1"/>
    <col min="267" max="267" width="11.5703125" style="9" customWidth="1"/>
    <col min="268" max="268" width="9.85546875" style="9" customWidth="1"/>
    <col min="269" max="269" width="10.28515625" style="9" customWidth="1"/>
    <col min="270" max="270" width="8.85546875" style="9"/>
    <col min="271" max="271" width="12.140625" style="9" bestFit="1" customWidth="1"/>
    <col min="272" max="280" width="8.85546875" style="9"/>
    <col min="281" max="283" width="9.140625" style="9" customWidth="1"/>
    <col min="284" max="512" width="8.85546875" style="9"/>
    <col min="513" max="513" width="9.7109375" style="9" customWidth="1"/>
    <col min="514" max="514" width="68.5703125" style="9" customWidth="1"/>
    <col min="515" max="515" width="10.7109375" style="9" customWidth="1"/>
    <col min="516" max="516" width="11.140625" style="9" customWidth="1"/>
    <col min="517" max="517" width="0.7109375" style="9" customWidth="1"/>
    <col min="518" max="519" width="0" style="9" hidden="1" customWidth="1"/>
    <col min="520" max="520" width="10" style="9" customWidth="1"/>
    <col min="521" max="521" width="10.28515625" style="9" customWidth="1"/>
    <col min="522" max="522" width="11.28515625" style="9" customWidth="1"/>
    <col min="523" max="523" width="11.5703125" style="9" customWidth="1"/>
    <col min="524" max="524" width="9.85546875" style="9" customWidth="1"/>
    <col min="525" max="525" width="10.28515625" style="9" customWidth="1"/>
    <col min="526" max="526" width="8.85546875" style="9"/>
    <col min="527" max="527" width="12.140625" style="9" bestFit="1" customWidth="1"/>
    <col min="528" max="536" width="8.85546875" style="9"/>
    <col min="537" max="539" width="9.140625" style="9" customWidth="1"/>
    <col min="540" max="768" width="8.85546875" style="9"/>
    <col min="769" max="769" width="9.7109375" style="9" customWidth="1"/>
    <col min="770" max="770" width="68.5703125" style="9" customWidth="1"/>
    <col min="771" max="771" width="10.7109375" style="9" customWidth="1"/>
    <col min="772" max="772" width="11.140625" style="9" customWidth="1"/>
    <col min="773" max="773" width="0.7109375" style="9" customWidth="1"/>
    <col min="774" max="775" width="0" style="9" hidden="1" customWidth="1"/>
    <col min="776" max="776" width="10" style="9" customWidth="1"/>
    <col min="777" max="777" width="10.28515625" style="9" customWidth="1"/>
    <col min="778" max="778" width="11.28515625" style="9" customWidth="1"/>
    <col min="779" max="779" width="11.5703125" style="9" customWidth="1"/>
    <col min="780" max="780" width="9.85546875" style="9" customWidth="1"/>
    <col min="781" max="781" width="10.28515625" style="9" customWidth="1"/>
    <col min="782" max="782" width="8.85546875" style="9"/>
    <col min="783" max="783" width="12.140625" style="9" bestFit="1" customWidth="1"/>
    <col min="784" max="792" width="8.85546875" style="9"/>
    <col min="793" max="795" width="9.140625" style="9" customWidth="1"/>
    <col min="796" max="1024" width="8.85546875" style="9"/>
    <col min="1025" max="1025" width="9.7109375" style="9" customWidth="1"/>
    <col min="1026" max="1026" width="68.5703125" style="9" customWidth="1"/>
    <col min="1027" max="1027" width="10.7109375" style="9" customWidth="1"/>
    <col min="1028" max="1028" width="11.140625" style="9" customWidth="1"/>
    <col min="1029" max="1029" width="0.7109375" style="9" customWidth="1"/>
    <col min="1030" max="1031" width="0" style="9" hidden="1" customWidth="1"/>
    <col min="1032" max="1032" width="10" style="9" customWidth="1"/>
    <col min="1033" max="1033" width="10.28515625" style="9" customWidth="1"/>
    <col min="1034" max="1034" width="11.28515625" style="9" customWidth="1"/>
    <col min="1035" max="1035" width="11.5703125" style="9" customWidth="1"/>
    <col min="1036" max="1036" width="9.85546875" style="9" customWidth="1"/>
    <col min="1037" max="1037" width="10.28515625" style="9" customWidth="1"/>
    <col min="1038" max="1038" width="8.85546875" style="9"/>
    <col min="1039" max="1039" width="12.140625" style="9" bestFit="1" customWidth="1"/>
    <col min="1040" max="1048" width="8.85546875" style="9"/>
    <col min="1049" max="1051" width="9.140625" style="9" customWidth="1"/>
    <col min="1052" max="1280" width="8.85546875" style="9"/>
    <col min="1281" max="1281" width="9.7109375" style="9" customWidth="1"/>
    <col min="1282" max="1282" width="68.5703125" style="9" customWidth="1"/>
    <col min="1283" max="1283" width="10.7109375" style="9" customWidth="1"/>
    <col min="1284" max="1284" width="11.140625" style="9" customWidth="1"/>
    <col min="1285" max="1285" width="0.7109375" style="9" customWidth="1"/>
    <col min="1286" max="1287" width="0" style="9" hidden="1" customWidth="1"/>
    <col min="1288" max="1288" width="10" style="9" customWidth="1"/>
    <col min="1289" max="1289" width="10.28515625" style="9" customWidth="1"/>
    <col min="1290" max="1290" width="11.28515625" style="9" customWidth="1"/>
    <col min="1291" max="1291" width="11.5703125" style="9" customWidth="1"/>
    <col min="1292" max="1292" width="9.85546875" style="9" customWidth="1"/>
    <col min="1293" max="1293" width="10.28515625" style="9" customWidth="1"/>
    <col min="1294" max="1294" width="8.85546875" style="9"/>
    <col min="1295" max="1295" width="12.140625" style="9" bestFit="1" customWidth="1"/>
    <col min="1296" max="1304" width="8.85546875" style="9"/>
    <col min="1305" max="1307" width="9.140625" style="9" customWidth="1"/>
    <col min="1308" max="1536" width="8.85546875" style="9"/>
    <col min="1537" max="1537" width="9.7109375" style="9" customWidth="1"/>
    <col min="1538" max="1538" width="68.5703125" style="9" customWidth="1"/>
    <col min="1539" max="1539" width="10.7109375" style="9" customWidth="1"/>
    <col min="1540" max="1540" width="11.140625" style="9" customWidth="1"/>
    <col min="1541" max="1541" width="0.7109375" style="9" customWidth="1"/>
    <col min="1542" max="1543" width="0" style="9" hidden="1" customWidth="1"/>
    <col min="1544" max="1544" width="10" style="9" customWidth="1"/>
    <col min="1545" max="1545" width="10.28515625" style="9" customWidth="1"/>
    <col min="1546" max="1546" width="11.28515625" style="9" customWidth="1"/>
    <col min="1547" max="1547" width="11.5703125" style="9" customWidth="1"/>
    <col min="1548" max="1548" width="9.85546875" style="9" customWidth="1"/>
    <col min="1549" max="1549" width="10.28515625" style="9" customWidth="1"/>
    <col min="1550" max="1550" width="8.85546875" style="9"/>
    <col min="1551" max="1551" width="12.140625" style="9" bestFit="1" customWidth="1"/>
    <col min="1552" max="1560" width="8.85546875" style="9"/>
    <col min="1561" max="1563" width="9.140625" style="9" customWidth="1"/>
    <col min="1564" max="1792" width="8.85546875" style="9"/>
    <col min="1793" max="1793" width="9.7109375" style="9" customWidth="1"/>
    <col min="1794" max="1794" width="68.5703125" style="9" customWidth="1"/>
    <col min="1795" max="1795" width="10.7109375" style="9" customWidth="1"/>
    <col min="1796" max="1796" width="11.140625" style="9" customWidth="1"/>
    <col min="1797" max="1797" width="0.7109375" style="9" customWidth="1"/>
    <col min="1798" max="1799" width="0" style="9" hidden="1" customWidth="1"/>
    <col min="1800" max="1800" width="10" style="9" customWidth="1"/>
    <col min="1801" max="1801" width="10.28515625" style="9" customWidth="1"/>
    <col min="1802" max="1802" width="11.28515625" style="9" customWidth="1"/>
    <col min="1803" max="1803" width="11.5703125" style="9" customWidth="1"/>
    <col min="1804" max="1804" width="9.85546875" style="9" customWidth="1"/>
    <col min="1805" max="1805" width="10.28515625" style="9" customWidth="1"/>
    <col min="1806" max="1806" width="8.85546875" style="9"/>
    <col min="1807" max="1807" width="12.140625" style="9" bestFit="1" customWidth="1"/>
    <col min="1808" max="1816" width="8.85546875" style="9"/>
    <col min="1817" max="1819" width="9.140625" style="9" customWidth="1"/>
    <col min="1820" max="2048" width="8.85546875" style="9"/>
    <col min="2049" max="2049" width="9.7109375" style="9" customWidth="1"/>
    <col min="2050" max="2050" width="68.5703125" style="9" customWidth="1"/>
    <col min="2051" max="2051" width="10.7109375" style="9" customWidth="1"/>
    <col min="2052" max="2052" width="11.140625" style="9" customWidth="1"/>
    <col min="2053" max="2053" width="0.7109375" style="9" customWidth="1"/>
    <col min="2054" max="2055" width="0" style="9" hidden="1" customWidth="1"/>
    <col min="2056" max="2056" width="10" style="9" customWidth="1"/>
    <col min="2057" max="2057" width="10.28515625" style="9" customWidth="1"/>
    <col min="2058" max="2058" width="11.28515625" style="9" customWidth="1"/>
    <col min="2059" max="2059" width="11.5703125" style="9" customWidth="1"/>
    <col min="2060" max="2060" width="9.85546875" style="9" customWidth="1"/>
    <col min="2061" max="2061" width="10.28515625" style="9" customWidth="1"/>
    <col min="2062" max="2062" width="8.85546875" style="9"/>
    <col min="2063" max="2063" width="12.140625" style="9" bestFit="1" customWidth="1"/>
    <col min="2064" max="2072" width="8.85546875" style="9"/>
    <col min="2073" max="2075" width="9.140625" style="9" customWidth="1"/>
    <col min="2076" max="2304" width="8.85546875" style="9"/>
    <col min="2305" max="2305" width="9.7109375" style="9" customWidth="1"/>
    <col min="2306" max="2306" width="68.5703125" style="9" customWidth="1"/>
    <col min="2307" max="2307" width="10.7109375" style="9" customWidth="1"/>
    <col min="2308" max="2308" width="11.140625" style="9" customWidth="1"/>
    <col min="2309" max="2309" width="0.7109375" style="9" customWidth="1"/>
    <col min="2310" max="2311" width="0" style="9" hidden="1" customWidth="1"/>
    <col min="2312" max="2312" width="10" style="9" customWidth="1"/>
    <col min="2313" max="2313" width="10.28515625" style="9" customWidth="1"/>
    <col min="2314" max="2314" width="11.28515625" style="9" customWidth="1"/>
    <col min="2315" max="2315" width="11.5703125" style="9" customWidth="1"/>
    <col min="2316" max="2316" width="9.85546875" style="9" customWidth="1"/>
    <col min="2317" max="2317" width="10.28515625" style="9" customWidth="1"/>
    <col min="2318" max="2318" width="8.85546875" style="9"/>
    <col min="2319" max="2319" width="12.140625" style="9" bestFit="1" customWidth="1"/>
    <col min="2320" max="2328" width="8.85546875" style="9"/>
    <col min="2329" max="2331" width="9.140625" style="9" customWidth="1"/>
    <col min="2332" max="2560" width="8.85546875" style="9"/>
    <col min="2561" max="2561" width="9.7109375" style="9" customWidth="1"/>
    <col min="2562" max="2562" width="68.5703125" style="9" customWidth="1"/>
    <col min="2563" max="2563" width="10.7109375" style="9" customWidth="1"/>
    <col min="2564" max="2564" width="11.140625" style="9" customWidth="1"/>
    <col min="2565" max="2565" width="0.7109375" style="9" customWidth="1"/>
    <col min="2566" max="2567" width="0" style="9" hidden="1" customWidth="1"/>
    <col min="2568" max="2568" width="10" style="9" customWidth="1"/>
    <col min="2569" max="2569" width="10.28515625" style="9" customWidth="1"/>
    <col min="2570" max="2570" width="11.28515625" style="9" customWidth="1"/>
    <col min="2571" max="2571" width="11.5703125" style="9" customWidth="1"/>
    <col min="2572" max="2572" width="9.85546875" style="9" customWidth="1"/>
    <col min="2573" max="2573" width="10.28515625" style="9" customWidth="1"/>
    <col min="2574" max="2574" width="8.85546875" style="9"/>
    <col min="2575" max="2575" width="12.140625" style="9" bestFit="1" customWidth="1"/>
    <col min="2576" max="2584" width="8.85546875" style="9"/>
    <col min="2585" max="2587" width="9.140625" style="9" customWidth="1"/>
    <col min="2588" max="2816" width="8.85546875" style="9"/>
    <col min="2817" max="2817" width="9.7109375" style="9" customWidth="1"/>
    <col min="2818" max="2818" width="68.5703125" style="9" customWidth="1"/>
    <col min="2819" max="2819" width="10.7109375" style="9" customWidth="1"/>
    <col min="2820" max="2820" width="11.140625" style="9" customWidth="1"/>
    <col min="2821" max="2821" width="0.7109375" style="9" customWidth="1"/>
    <col min="2822" max="2823" width="0" style="9" hidden="1" customWidth="1"/>
    <col min="2824" max="2824" width="10" style="9" customWidth="1"/>
    <col min="2825" max="2825" width="10.28515625" style="9" customWidth="1"/>
    <col min="2826" max="2826" width="11.28515625" style="9" customWidth="1"/>
    <col min="2827" max="2827" width="11.5703125" style="9" customWidth="1"/>
    <col min="2828" max="2828" width="9.85546875" style="9" customWidth="1"/>
    <col min="2829" max="2829" width="10.28515625" style="9" customWidth="1"/>
    <col min="2830" max="2830" width="8.85546875" style="9"/>
    <col min="2831" max="2831" width="12.140625" style="9" bestFit="1" customWidth="1"/>
    <col min="2832" max="2840" width="8.85546875" style="9"/>
    <col min="2841" max="2843" width="9.140625" style="9" customWidth="1"/>
    <col min="2844" max="3072" width="8.85546875" style="9"/>
    <col min="3073" max="3073" width="9.7109375" style="9" customWidth="1"/>
    <col min="3074" max="3074" width="68.5703125" style="9" customWidth="1"/>
    <col min="3075" max="3075" width="10.7109375" style="9" customWidth="1"/>
    <col min="3076" max="3076" width="11.140625" style="9" customWidth="1"/>
    <col min="3077" max="3077" width="0.7109375" style="9" customWidth="1"/>
    <col min="3078" max="3079" width="0" style="9" hidden="1" customWidth="1"/>
    <col min="3080" max="3080" width="10" style="9" customWidth="1"/>
    <col min="3081" max="3081" width="10.28515625" style="9" customWidth="1"/>
    <col min="3082" max="3082" width="11.28515625" style="9" customWidth="1"/>
    <col min="3083" max="3083" width="11.5703125" style="9" customWidth="1"/>
    <col min="3084" max="3084" width="9.85546875" style="9" customWidth="1"/>
    <col min="3085" max="3085" width="10.28515625" style="9" customWidth="1"/>
    <col min="3086" max="3086" width="8.85546875" style="9"/>
    <col min="3087" max="3087" width="12.140625" style="9" bestFit="1" customWidth="1"/>
    <col min="3088" max="3096" width="8.85546875" style="9"/>
    <col min="3097" max="3099" width="9.140625" style="9" customWidth="1"/>
    <col min="3100" max="3328" width="8.85546875" style="9"/>
    <col min="3329" max="3329" width="9.7109375" style="9" customWidth="1"/>
    <col min="3330" max="3330" width="68.5703125" style="9" customWidth="1"/>
    <col min="3331" max="3331" width="10.7109375" style="9" customWidth="1"/>
    <col min="3332" max="3332" width="11.140625" style="9" customWidth="1"/>
    <col min="3333" max="3333" width="0.7109375" style="9" customWidth="1"/>
    <col min="3334" max="3335" width="0" style="9" hidden="1" customWidth="1"/>
    <col min="3336" max="3336" width="10" style="9" customWidth="1"/>
    <col min="3337" max="3337" width="10.28515625" style="9" customWidth="1"/>
    <col min="3338" max="3338" width="11.28515625" style="9" customWidth="1"/>
    <col min="3339" max="3339" width="11.5703125" style="9" customWidth="1"/>
    <col min="3340" max="3340" width="9.85546875" style="9" customWidth="1"/>
    <col min="3341" max="3341" width="10.28515625" style="9" customWidth="1"/>
    <col min="3342" max="3342" width="8.85546875" style="9"/>
    <col min="3343" max="3343" width="12.140625" style="9" bestFit="1" customWidth="1"/>
    <col min="3344" max="3352" width="8.85546875" style="9"/>
    <col min="3353" max="3355" width="9.140625" style="9" customWidth="1"/>
    <col min="3356" max="3584" width="8.85546875" style="9"/>
    <col min="3585" max="3585" width="9.7109375" style="9" customWidth="1"/>
    <col min="3586" max="3586" width="68.5703125" style="9" customWidth="1"/>
    <col min="3587" max="3587" width="10.7109375" style="9" customWidth="1"/>
    <col min="3588" max="3588" width="11.140625" style="9" customWidth="1"/>
    <col min="3589" max="3589" width="0.7109375" style="9" customWidth="1"/>
    <col min="3590" max="3591" width="0" style="9" hidden="1" customWidth="1"/>
    <col min="3592" max="3592" width="10" style="9" customWidth="1"/>
    <col min="3593" max="3593" width="10.28515625" style="9" customWidth="1"/>
    <col min="3594" max="3594" width="11.28515625" style="9" customWidth="1"/>
    <col min="3595" max="3595" width="11.5703125" style="9" customWidth="1"/>
    <col min="3596" max="3596" width="9.85546875" style="9" customWidth="1"/>
    <col min="3597" max="3597" width="10.28515625" style="9" customWidth="1"/>
    <col min="3598" max="3598" width="8.85546875" style="9"/>
    <col min="3599" max="3599" width="12.140625" style="9" bestFit="1" customWidth="1"/>
    <col min="3600" max="3608" width="8.85546875" style="9"/>
    <col min="3609" max="3611" width="9.140625" style="9" customWidth="1"/>
    <col min="3612" max="3840" width="8.85546875" style="9"/>
    <col min="3841" max="3841" width="9.7109375" style="9" customWidth="1"/>
    <col min="3842" max="3842" width="68.5703125" style="9" customWidth="1"/>
    <col min="3843" max="3843" width="10.7109375" style="9" customWidth="1"/>
    <col min="3844" max="3844" width="11.140625" style="9" customWidth="1"/>
    <col min="3845" max="3845" width="0.7109375" style="9" customWidth="1"/>
    <col min="3846" max="3847" width="0" style="9" hidden="1" customWidth="1"/>
    <col min="3848" max="3848" width="10" style="9" customWidth="1"/>
    <col min="3849" max="3849" width="10.28515625" style="9" customWidth="1"/>
    <col min="3850" max="3850" width="11.28515625" style="9" customWidth="1"/>
    <col min="3851" max="3851" width="11.5703125" style="9" customWidth="1"/>
    <col min="3852" max="3852" width="9.85546875" style="9" customWidth="1"/>
    <col min="3853" max="3853" width="10.28515625" style="9" customWidth="1"/>
    <col min="3854" max="3854" width="8.85546875" style="9"/>
    <col min="3855" max="3855" width="12.140625" style="9" bestFit="1" customWidth="1"/>
    <col min="3856" max="3864" width="8.85546875" style="9"/>
    <col min="3865" max="3867" width="9.140625" style="9" customWidth="1"/>
    <col min="3868" max="4096" width="8.85546875" style="9"/>
    <col min="4097" max="4097" width="9.7109375" style="9" customWidth="1"/>
    <col min="4098" max="4098" width="68.5703125" style="9" customWidth="1"/>
    <col min="4099" max="4099" width="10.7109375" style="9" customWidth="1"/>
    <col min="4100" max="4100" width="11.140625" style="9" customWidth="1"/>
    <col min="4101" max="4101" width="0.7109375" style="9" customWidth="1"/>
    <col min="4102" max="4103" width="0" style="9" hidden="1" customWidth="1"/>
    <col min="4104" max="4104" width="10" style="9" customWidth="1"/>
    <col min="4105" max="4105" width="10.28515625" style="9" customWidth="1"/>
    <col min="4106" max="4106" width="11.28515625" style="9" customWidth="1"/>
    <col min="4107" max="4107" width="11.5703125" style="9" customWidth="1"/>
    <col min="4108" max="4108" width="9.85546875" style="9" customWidth="1"/>
    <col min="4109" max="4109" width="10.28515625" style="9" customWidth="1"/>
    <col min="4110" max="4110" width="8.85546875" style="9"/>
    <col min="4111" max="4111" width="12.140625" style="9" bestFit="1" customWidth="1"/>
    <col min="4112" max="4120" width="8.85546875" style="9"/>
    <col min="4121" max="4123" width="9.140625" style="9" customWidth="1"/>
    <col min="4124" max="4352" width="8.85546875" style="9"/>
    <col min="4353" max="4353" width="9.7109375" style="9" customWidth="1"/>
    <col min="4354" max="4354" width="68.5703125" style="9" customWidth="1"/>
    <col min="4355" max="4355" width="10.7109375" style="9" customWidth="1"/>
    <col min="4356" max="4356" width="11.140625" style="9" customWidth="1"/>
    <col min="4357" max="4357" width="0.7109375" style="9" customWidth="1"/>
    <col min="4358" max="4359" width="0" style="9" hidden="1" customWidth="1"/>
    <col min="4360" max="4360" width="10" style="9" customWidth="1"/>
    <col min="4361" max="4361" width="10.28515625" style="9" customWidth="1"/>
    <col min="4362" max="4362" width="11.28515625" style="9" customWidth="1"/>
    <col min="4363" max="4363" width="11.5703125" style="9" customWidth="1"/>
    <col min="4364" max="4364" width="9.85546875" style="9" customWidth="1"/>
    <col min="4365" max="4365" width="10.28515625" style="9" customWidth="1"/>
    <col min="4366" max="4366" width="8.85546875" style="9"/>
    <col min="4367" max="4367" width="12.140625" style="9" bestFit="1" customWidth="1"/>
    <col min="4368" max="4376" width="8.85546875" style="9"/>
    <col min="4377" max="4379" width="9.140625" style="9" customWidth="1"/>
    <col min="4380" max="4608" width="8.85546875" style="9"/>
    <col min="4609" max="4609" width="9.7109375" style="9" customWidth="1"/>
    <col min="4610" max="4610" width="68.5703125" style="9" customWidth="1"/>
    <col min="4611" max="4611" width="10.7109375" style="9" customWidth="1"/>
    <col min="4612" max="4612" width="11.140625" style="9" customWidth="1"/>
    <col min="4613" max="4613" width="0.7109375" style="9" customWidth="1"/>
    <col min="4614" max="4615" width="0" style="9" hidden="1" customWidth="1"/>
    <col min="4616" max="4616" width="10" style="9" customWidth="1"/>
    <col min="4617" max="4617" width="10.28515625" style="9" customWidth="1"/>
    <col min="4618" max="4618" width="11.28515625" style="9" customWidth="1"/>
    <col min="4619" max="4619" width="11.5703125" style="9" customWidth="1"/>
    <col min="4620" max="4620" width="9.85546875" style="9" customWidth="1"/>
    <col min="4621" max="4621" width="10.28515625" style="9" customWidth="1"/>
    <col min="4622" max="4622" width="8.85546875" style="9"/>
    <col min="4623" max="4623" width="12.140625" style="9" bestFit="1" customWidth="1"/>
    <col min="4624" max="4632" width="8.85546875" style="9"/>
    <col min="4633" max="4635" width="9.140625" style="9" customWidth="1"/>
    <col min="4636" max="4864" width="8.85546875" style="9"/>
    <col min="4865" max="4865" width="9.7109375" style="9" customWidth="1"/>
    <col min="4866" max="4866" width="68.5703125" style="9" customWidth="1"/>
    <col min="4867" max="4867" width="10.7109375" style="9" customWidth="1"/>
    <col min="4868" max="4868" width="11.140625" style="9" customWidth="1"/>
    <col min="4869" max="4869" width="0.7109375" style="9" customWidth="1"/>
    <col min="4870" max="4871" width="0" style="9" hidden="1" customWidth="1"/>
    <col min="4872" max="4872" width="10" style="9" customWidth="1"/>
    <col min="4873" max="4873" width="10.28515625" style="9" customWidth="1"/>
    <col min="4874" max="4874" width="11.28515625" style="9" customWidth="1"/>
    <col min="4875" max="4875" width="11.5703125" style="9" customWidth="1"/>
    <col min="4876" max="4876" width="9.85546875" style="9" customWidth="1"/>
    <col min="4877" max="4877" width="10.28515625" style="9" customWidth="1"/>
    <col min="4878" max="4878" width="8.85546875" style="9"/>
    <col min="4879" max="4879" width="12.140625" style="9" bestFit="1" customWidth="1"/>
    <col min="4880" max="4888" width="8.85546875" style="9"/>
    <col min="4889" max="4891" width="9.140625" style="9" customWidth="1"/>
    <col min="4892" max="5120" width="8.85546875" style="9"/>
    <col min="5121" max="5121" width="9.7109375" style="9" customWidth="1"/>
    <col min="5122" max="5122" width="68.5703125" style="9" customWidth="1"/>
    <col min="5123" max="5123" width="10.7109375" style="9" customWidth="1"/>
    <col min="5124" max="5124" width="11.140625" style="9" customWidth="1"/>
    <col min="5125" max="5125" width="0.7109375" style="9" customWidth="1"/>
    <col min="5126" max="5127" width="0" style="9" hidden="1" customWidth="1"/>
    <col min="5128" max="5128" width="10" style="9" customWidth="1"/>
    <col min="5129" max="5129" width="10.28515625" style="9" customWidth="1"/>
    <col min="5130" max="5130" width="11.28515625" style="9" customWidth="1"/>
    <col min="5131" max="5131" width="11.5703125" style="9" customWidth="1"/>
    <col min="5132" max="5132" width="9.85546875" style="9" customWidth="1"/>
    <col min="5133" max="5133" width="10.28515625" style="9" customWidth="1"/>
    <col min="5134" max="5134" width="8.85546875" style="9"/>
    <col min="5135" max="5135" width="12.140625" style="9" bestFit="1" customWidth="1"/>
    <col min="5136" max="5144" width="8.85546875" style="9"/>
    <col min="5145" max="5147" width="9.140625" style="9" customWidth="1"/>
    <col min="5148" max="5376" width="8.85546875" style="9"/>
    <col min="5377" max="5377" width="9.7109375" style="9" customWidth="1"/>
    <col min="5378" max="5378" width="68.5703125" style="9" customWidth="1"/>
    <col min="5379" max="5379" width="10.7109375" style="9" customWidth="1"/>
    <col min="5380" max="5380" width="11.140625" style="9" customWidth="1"/>
    <col min="5381" max="5381" width="0.7109375" style="9" customWidth="1"/>
    <col min="5382" max="5383" width="0" style="9" hidden="1" customWidth="1"/>
    <col min="5384" max="5384" width="10" style="9" customWidth="1"/>
    <col min="5385" max="5385" width="10.28515625" style="9" customWidth="1"/>
    <col min="5386" max="5386" width="11.28515625" style="9" customWidth="1"/>
    <col min="5387" max="5387" width="11.5703125" style="9" customWidth="1"/>
    <col min="5388" max="5388" width="9.85546875" style="9" customWidth="1"/>
    <col min="5389" max="5389" width="10.28515625" style="9" customWidth="1"/>
    <col min="5390" max="5390" width="8.85546875" style="9"/>
    <col min="5391" max="5391" width="12.140625" style="9" bestFit="1" customWidth="1"/>
    <col min="5392" max="5400" width="8.85546875" style="9"/>
    <col min="5401" max="5403" width="9.140625" style="9" customWidth="1"/>
    <col min="5404" max="5632" width="8.85546875" style="9"/>
    <col min="5633" max="5633" width="9.7109375" style="9" customWidth="1"/>
    <col min="5634" max="5634" width="68.5703125" style="9" customWidth="1"/>
    <col min="5635" max="5635" width="10.7109375" style="9" customWidth="1"/>
    <col min="5636" max="5636" width="11.140625" style="9" customWidth="1"/>
    <col min="5637" max="5637" width="0.7109375" style="9" customWidth="1"/>
    <col min="5638" max="5639" width="0" style="9" hidden="1" customWidth="1"/>
    <col min="5640" max="5640" width="10" style="9" customWidth="1"/>
    <col min="5641" max="5641" width="10.28515625" style="9" customWidth="1"/>
    <col min="5642" max="5642" width="11.28515625" style="9" customWidth="1"/>
    <col min="5643" max="5643" width="11.5703125" style="9" customWidth="1"/>
    <col min="5644" max="5644" width="9.85546875" style="9" customWidth="1"/>
    <col min="5645" max="5645" width="10.28515625" style="9" customWidth="1"/>
    <col min="5646" max="5646" width="8.85546875" style="9"/>
    <col min="5647" max="5647" width="12.140625" style="9" bestFit="1" customWidth="1"/>
    <col min="5648" max="5656" width="8.85546875" style="9"/>
    <col min="5657" max="5659" width="9.140625" style="9" customWidth="1"/>
    <col min="5660" max="5888" width="8.85546875" style="9"/>
    <col min="5889" max="5889" width="9.7109375" style="9" customWidth="1"/>
    <col min="5890" max="5890" width="68.5703125" style="9" customWidth="1"/>
    <col min="5891" max="5891" width="10.7109375" style="9" customWidth="1"/>
    <col min="5892" max="5892" width="11.140625" style="9" customWidth="1"/>
    <col min="5893" max="5893" width="0.7109375" style="9" customWidth="1"/>
    <col min="5894" max="5895" width="0" style="9" hidden="1" customWidth="1"/>
    <col min="5896" max="5896" width="10" style="9" customWidth="1"/>
    <col min="5897" max="5897" width="10.28515625" style="9" customWidth="1"/>
    <col min="5898" max="5898" width="11.28515625" style="9" customWidth="1"/>
    <col min="5899" max="5899" width="11.5703125" style="9" customWidth="1"/>
    <col min="5900" max="5900" width="9.85546875" style="9" customWidth="1"/>
    <col min="5901" max="5901" width="10.28515625" style="9" customWidth="1"/>
    <col min="5902" max="5902" width="8.85546875" style="9"/>
    <col min="5903" max="5903" width="12.140625" style="9" bestFit="1" customWidth="1"/>
    <col min="5904" max="5912" width="8.85546875" style="9"/>
    <col min="5913" max="5915" width="9.140625" style="9" customWidth="1"/>
    <col min="5916" max="6144" width="8.85546875" style="9"/>
    <col min="6145" max="6145" width="9.7109375" style="9" customWidth="1"/>
    <col min="6146" max="6146" width="68.5703125" style="9" customWidth="1"/>
    <col min="6147" max="6147" width="10.7109375" style="9" customWidth="1"/>
    <col min="6148" max="6148" width="11.140625" style="9" customWidth="1"/>
    <col min="6149" max="6149" width="0.7109375" style="9" customWidth="1"/>
    <col min="6150" max="6151" width="0" style="9" hidden="1" customWidth="1"/>
    <col min="6152" max="6152" width="10" style="9" customWidth="1"/>
    <col min="6153" max="6153" width="10.28515625" style="9" customWidth="1"/>
    <col min="6154" max="6154" width="11.28515625" style="9" customWidth="1"/>
    <col min="6155" max="6155" width="11.5703125" style="9" customWidth="1"/>
    <col min="6156" max="6156" width="9.85546875" style="9" customWidth="1"/>
    <col min="6157" max="6157" width="10.28515625" style="9" customWidth="1"/>
    <col min="6158" max="6158" width="8.85546875" style="9"/>
    <col min="6159" max="6159" width="12.140625" style="9" bestFit="1" customWidth="1"/>
    <col min="6160" max="6168" width="8.85546875" style="9"/>
    <col min="6169" max="6171" width="9.140625" style="9" customWidth="1"/>
    <col min="6172" max="6400" width="8.85546875" style="9"/>
    <col min="6401" max="6401" width="9.7109375" style="9" customWidth="1"/>
    <col min="6402" max="6402" width="68.5703125" style="9" customWidth="1"/>
    <col min="6403" max="6403" width="10.7109375" style="9" customWidth="1"/>
    <col min="6404" max="6404" width="11.140625" style="9" customWidth="1"/>
    <col min="6405" max="6405" width="0.7109375" style="9" customWidth="1"/>
    <col min="6406" max="6407" width="0" style="9" hidden="1" customWidth="1"/>
    <col min="6408" max="6408" width="10" style="9" customWidth="1"/>
    <col min="6409" max="6409" width="10.28515625" style="9" customWidth="1"/>
    <col min="6410" max="6410" width="11.28515625" style="9" customWidth="1"/>
    <col min="6411" max="6411" width="11.5703125" style="9" customWidth="1"/>
    <col min="6412" max="6412" width="9.85546875" style="9" customWidth="1"/>
    <col min="6413" max="6413" width="10.28515625" style="9" customWidth="1"/>
    <col min="6414" max="6414" width="8.85546875" style="9"/>
    <col min="6415" max="6415" width="12.140625" style="9" bestFit="1" customWidth="1"/>
    <col min="6416" max="6424" width="8.85546875" style="9"/>
    <col min="6425" max="6427" width="9.140625" style="9" customWidth="1"/>
    <col min="6428" max="6656" width="8.85546875" style="9"/>
    <col min="6657" max="6657" width="9.7109375" style="9" customWidth="1"/>
    <col min="6658" max="6658" width="68.5703125" style="9" customWidth="1"/>
    <col min="6659" max="6659" width="10.7109375" style="9" customWidth="1"/>
    <col min="6660" max="6660" width="11.140625" style="9" customWidth="1"/>
    <col min="6661" max="6661" width="0.7109375" style="9" customWidth="1"/>
    <col min="6662" max="6663" width="0" style="9" hidden="1" customWidth="1"/>
    <col min="6664" max="6664" width="10" style="9" customWidth="1"/>
    <col min="6665" max="6665" width="10.28515625" style="9" customWidth="1"/>
    <col min="6666" max="6666" width="11.28515625" style="9" customWidth="1"/>
    <col min="6667" max="6667" width="11.5703125" style="9" customWidth="1"/>
    <col min="6668" max="6668" width="9.85546875" style="9" customWidth="1"/>
    <col min="6669" max="6669" width="10.28515625" style="9" customWidth="1"/>
    <col min="6670" max="6670" width="8.85546875" style="9"/>
    <col min="6671" max="6671" width="12.140625" style="9" bestFit="1" customWidth="1"/>
    <col min="6672" max="6680" width="8.85546875" style="9"/>
    <col min="6681" max="6683" width="9.140625" style="9" customWidth="1"/>
    <col min="6684" max="6912" width="8.85546875" style="9"/>
    <col min="6913" max="6913" width="9.7109375" style="9" customWidth="1"/>
    <col min="6914" max="6914" width="68.5703125" style="9" customWidth="1"/>
    <col min="6915" max="6915" width="10.7109375" style="9" customWidth="1"/>
    <col min="6916" max="6916" width="11.140625" style="9" customWidth="1"/>
    <col min="6917" max="6917" width="0.7109375" style="9" customWidth="1"/>
    <col min="6918" max="6919" width="0" style="9" hidden="1" customWidth="1"/>
    <col min="6920" max="6920" width="10" style="9" customWidth="1"/>
    <col min="6921" max="6921" width="10.28515625" style="9" customWidth="1"/>
    <col min="6922" max="6922" width="11.28515625" style="9" customWidth="1"/>
    <col min="6923" max="6923" width="11.5703125" style="9" customWidth="1"/>
    <col min="6924" max="6924" width="9.85546875" style="9" customWidth="1"/>
    <col min="6925" max="6925" width="10.28515625" style="9" customWidth="1"/>
    <col min="6926" max="6926" width="8.85546875" style="9"/>
    <col min="6927" max="6927" width="12.140625" style="9" bestFit="1" customWidth="1"/>
    <col min="6928" max="6936" width="8.85546875" style="9"/>
    <col min="6937" max="6939" width="9.140625" style="9" customWidth="1"/>
    <col min="6940" max="7168" width="8.85546875" style="9"/>
    <col min="7169" max="7169" width="9.7109375" style="9" customWidth="1"/>
    <col min="7170" max="7170" width="68.5703125" style="9" customWidth="1"/>
    <col min="7171" max="7171" width="10.7109375" style="9" customWidth="1"/>
    <col min="7172" max="7172" width="11.140625" style="9" customWidth="1"/>
    <col min="7173" max="7173" width="0.7109375" style="9" customWidth="1"/>
    <col min="7174" max="7175" width="0" style="9" hidden="1" customWidth="1"/>
    <col min="7176" max="7176" width="10" style="9" customWidth="1"/>
    <col min="7177" max="7177" width="10.28515625" style="9" customWidth="1"/>
    <col min="7178" max="7178" width="11.28515625" style="9" customWidth="1"/>
    <col min="7179" max="7179" width="11.5703125" style="9" customWidth="1"/>
    <col min="7180" max="7180" width="9.85546875" style="9" customWidth="1"/>
    <col min="7181" max="7181" width="10.28515625" style="9" customWidth="1"/>
    <col min="7182" max="7182" width="8.85546875" style="9"/>
    <col min="7183" max="7183" width="12.140625" style="9" bestFit="1" customWidth="1"/>
    <col min="7184" max="7192" width="8.85546875" style="9"/>
    <col min="7193" max="7195" width="9.140625" style="9" customWidth="1"/>
    <col min="7196" max="7424" width="8.85546875" style="9"/>
    <col min="7425" max="7425" width="9.7109375" style="9" customWidth="1"/>
    <col min="7426" max="7426" width="68.5703125" style="9" customWidth="1"/>
    <col min="7427" max="7427" width="10.7109375" style="9" customWidth="1"/>
    <col min="7428" max="7428" width="11.140625" style="9" customWidth="1"/>
    <col min="7429" max="7429" width="0.7109375" style="9" customWidth="1"/>
    <col min="7430" max="7431" width="0" style="9" hidden="1" customWidth="1"/>
    <col min="7432" max="7432" width="10" style="9" customWidth="1"/>
    <col min="7433" max="7433" width="10.28515625" style="9" customWidth="1"/>
    <col min="7434" max="7434" width="11.28515625" style="9" customWidth="1"/>
    <col min="7435" max="7435" width="11.5703125" style="9" customWidth="1"/>
    <col min="7436" max="7436" width="9.85546875" style="9" customWidth="1"/>
    <col min="7437" max="7437" width="10.28515625" style="9" customWidth="1"/>
    <col min="7438" max="7438" width="8.85546875" style="9"/>
    <col min="7439" max="7439" width="12.140625" style="9" bestFit="1" customWidth="1"/>
    <col min="7440" max="7448" width="8.85546875" style="9"/>
    <col min="7449" max="7451" width="9.140625" style="9" customWidth="1"/>
    <col min="7452" max="7680" width="8.85546875" style="9"/>
    <col min="7681" max="7681" width="9.7109375" style="9" customWidth="1"/>
    <col min="7682" max="7682" width="68.5703125" style="9" customWidth="1"/>
    <col min="7683" max="7683" width="10.7109375" style="9" customWidth="1"/>
    <col min="7684" max="7684" width="11.140625" style="9" customWidth="1"/>
    <col min="7685" max="7685" width="0.7109375" style="9" customWidth="1"/>
    <col min="7686" max="7687" width="0" style="9" hidden="1" customWidth="1"/>
    <col min="7688" max="7688" width="10" style="9" customWidth="1"/>
    <col min="7689" max="7689" width="10.28515625" style="9" customWidth="1"/>
    <col min="7690" max="7690" width="11.28515625" style="9" customWidth="1"/>
    <col min="7691" max="7691" width="11.5703125" style="9" customWidth="1"/>
    <col min="7692" max="7692" width="9.85546875" style="9" customWidth="1"/>
    <col min="7693" max="7693" width="10.28515625" style="9" customWidth="1"/>
    <col min="7694" max="7694" width="8.85546875" style="9"/>
    <col min="7695" max="7695" width="12.140625" style="9" bestFit="1" customWidth="1"/>
    <col min="7696" max="7704" width="8.85546875" style="9"/>
    <col min="7705" max="7707" width="9.140625" style="9" customWidth="1"/>
    <col min="7708" max="7936" width="8.85546875" style="9"/>
    <col min="7937" max="7937" width="9.7109375" style="9" customWidth="1"/>
    <col min="7938" max="7938" width="68.5703125" style="9" customWidth="1"/>
    <col min="7939" max="7939" width="10.7109375" style="9" customWidth="1"/>
    <col min="7940" max="7940" width="11.140625" style="9" customWidth="1"/>
    <col min="7941" max="7941" width="0.7109375" style="9" customWidth="1"/>
    <col min="7942" max="7943" width="0" style="9" hidden="1" customWidth="1"/>
    <col min="7944" max="7944" width="10" style="9" customWidth="1"/>
    <col min="7945" max="7945" width="10.28515625" style="9" customWidth="1"/>
    <col min="7946" max="7946" width="11.28515625" style="9" customWidth="1"/>
    <col min="7947" max="7947" width="11.5703125" style="9" customWidth="1"/>
    <col min="7948" max="7948" width="9.85546875" style="9" customWidth="1"/>
    <col min="7949" max="7949" width="10.28515625" style="9" customWidth="1"/>
    <col min="7950" max="7950" width="8.85546875" style="9"/>
    <col min="7951" max="7951" width="12.140625" style="9" bestFit="1" customWidth="1"/>
    <col min="7952" max="7960" width="8.85546875" style="9"/>
    <col min="7961" max="7963" width="9.140625" style="9" customWidth="1"/>
    <col min="7964" max="8192" width="8.85546875" style="9"/>
    <col min="8193" max="8193" width="9.7109375" style="9" customWidth="1"/>
    <col min="8194" max="8194" width="68.5703125" style="9" customWidth="1"/>
    <col min="8195" max="8195" width="10.7109375" style="9" customWidth="1"/>
    <col min="8196" max="8196" width="11.140625" style="9" customWidth="1"/>
    <col min="8197" max="8197" width="0.7109375" style="9" customWidth="1"/>
    <col min="8198" max="8199" width="0" style="9" hidden="1" customWidth="1"/>
    <col min="8200" max="8200" width="10" style="9" customWidth="1"/>
    <col min="8201" max="8201" width="10.28515625" style="9" customWidth="1"/>
    <col min="8202" max="8202" width="11.28515625" style="9" customWidth="1"/>
    <col min="8203" max="8203" width="11.5703125" style="9" customWidth="1"/>
    <col min="8204" max="8204" width="9.85546875" style="9" customWidth="1"/>
    <col min="8205" max="8205" width="10.28515625" style="9" customWidth="1"/>
    <col min="8206" max="8206" width="8.85546875" style="9"/>
    <col min="8207" max="8207" width="12.140625" style="9" bestFit="1" customWidth="1"/>
    <col min="8208" max="8216" width="8.85546875" style="9"/>
    <col min="8217" max="8219" width="9.140625" style="9" customWidth="1"/>
    <col min="8220" max="8448" width="8.85546875" style="9"/>
    <col min="8449" max="8449" width="9.7109375" style="9" customWidth="1"/>
    <col min="8450" max="8450" width="68.5703125" style="9" customWidth="1"/>
    <col min="8451" max="8451" width="10.7109375" style="9" customWidth="1"/>
    <col min="8452" max="8452" width="11.140625" style="9" customWidth="1"/>
    <col min="8453" max="8453" width="0.7109375" style="9" customWidth="1"/>
    <col min="8454" max="8455" width="0" style="9" hidden="1" customWidth="1"/>
    <col min="8456" max="8456" width="10" style="9" customWidth="1"/>
    <col min="8457" max="8457" width="10.28515625" style="9" customWidth="1"/>
    <col min="8458" max="8458" width="11.28515625" style="9" customWidth="1"/>
    <col min="8459" max="8459" width="11.5703125" style="9" customWidth="1"/>
    <col min="8460" max="8460" width="9.85546875" style="9" customWidth="1"/>
    <col min="8461" max="8461" width="10.28515625" style="9" customWidth="1"/>
    <col min="8462" max="8462" width="8.85546875" style="9"/>
    <col min="8463" max="8463" width="12.140625" style="9" bestFit="1" customWidth="1"/>
    <col min="8464" max="8472" width="8.85546875" style="9"/>
    <col min="8473" max="8475" width="9.140625" style="9" customWidth="1"/>
    <col min="8476" max="8704" width="8.85546875" style="9"/>
    <col min="8705" max="8705" width="9.7109375" style="9" customWidth="1"/>
    <col min="8706" max="8706" width="68.5703125" style="9" customWidth="1"/>
    <col min="8707" max="8707" width="10.7109375" style="9" customWidth="1"/>
    <col min="8708" max="8708" width="11.140625" style="9" customWidth="1"/>
    <col min="8709" max="8709" width="0.7109375" style="9" customWidth="1"/>
    <col min="8710" max="8711" width="0" style="9" hidden="1" customWidth="1"/>
    <col min="8712" max="8712" width="10" style="9" customWidth="1"/>
    <col min="8713" max="8713" width="10.28515625" style="9" customWidth="1"/>
    <col min="8714" max="8714" width="11.28515625" style="9" customWidth="1"/>
    <col min="8715" max="8715" width="11.5703125" style="9" customWidth="1"/>
    <col min="8716" max="8716" width="9.85546875" style="9" customWidth="1"/>
    <col min="8717" max="8717" width="10.28515625" style="9" customWidth="1"/>
    <col min="8718" max="8718" width="8.85546875" style="9"/>
    <col min="8719" max="8719" width="12.140625" style="9" bestFit="1" customWidth="1"/>
    <col min="8720" max="8728" width="8.85546875" style="9"/>
    <col min="8729" max="8731" width="9.140625" style="9" customWidth="1"/>
    <col min="8732" max="8960" width="8.85546875" style="9"/>
    <col min="8961" max="8961" width="9.7109375" style="9" customWidth="1"/>
    <col min="8962" max="8962" width="68.5703125" style="9" customWidth="1"/>
    <col min="8963" max="8963" width="10.7109375" style="9" customWidth="1"/>
    <col min="8964" max="8964" width="11.140625" style="9" customWidth="1"/>
    <col min="8965" max="8965" width="0.7109375" style="9" customWidth="1"/>
    <col min="8966" max="8967" width="0" style="9" hidden="1" customWidth="1"/>
    <col min="8968" max="8968" width="10" style="9" customWidth="1"/>
    <col min="8969" max="8969" width="10.28515625" style="9" customWidth="1"/>
    <col min="8970" max="8970" width="11.28515625" style="9" customWidth="1"/>
    <col min="8971" max="8971" width="11.5703125" style="9" customWidth="1"/>
    <col min="8972" max="8972" width="9.85546875" style="9" customWidth="1"/>
    <col min="8973" max="8973" width="10.28515625" style="9" customWidth="1"/>
    <col min="8974" max="8974" width="8.85546875" style="9"/>
    <col min="8975" max="8975" width="12.140625" style="9" bestFit="1" customWidth="1"/>
    <col min="8976" max="8984" width="8.85546875" style="9"/>
    <col min="8985" max="8987" width="9.140625" style="9" customWidth="1"/>
    <col min="8988" max="9216" width="8.85546875" style="9"/>
    <col min="9217" max="9217" width="9.7109375" style="9" customWidth="1"/>
    <col min="9218" max="9218" width="68.5703125" style="9" customWidth="1"/>
    <col min="9219" max="9219" width="10.7109375" style="9" customWidth="1"/>
    <col min="9220" max="9220" width="11.140625" style="9" customWidth="1"/>
    <col min="9221" max="9221" width="0.7109375" style="9" customWidth="1"/>
    <col min="9222" max="9223" width="0" style="9" hidden="1" customWidth="1"/>
    <col min="9224" max="9224" width="10" style="9" customWidth="1"/>
    <col min="9225" max="9225" width="10.28515625" style="9" customWidth="1"/>
    <col min="9226" max="9226" width="11.28515625" style="9" customWidth="1"/>
    <col min="9227" max="9227" width="11.5703125" style="9" customWidth="1"/>
    <col min="9228" max="9228" width="9.85546875" style="9" customWidth="1"/>
    <col min="9229" max="9229" width="10.28515625" style="9" customWidth="1"/>
    <col min="9230" max="9230" width="8.85546875" style="9"/>
    <col min="9231" max="9231" width="12.140625" style="9" bestFit="1" customWidth="1"/>
    <col min="9232" max="9240" width="8.85546875" style="9"/>
    <col min="9241" max="9243" width="9.140625" style="9" customWidth="1"/>
    <col min="9244" max="9472" width="8.85546875" style="9"/>
    <col min="9473" max="9473" width="9.7109375" style="9" customWidth="1"/>
    <col min="9474" max="9474" width="68.5703125" style="9" customWidth="1"/>
    <col min="9475" max="9475" width="10.7109375" style="9" customWidth="1"/>
    <col min="9476" max="9476" width="11.140625" style="9" customWidth="1"/>
    <col min="9477" max="9477" width="0.7109375" style="9" customWidth="1"/>
    <col min="9478" max="9479" width="0" style="9" hidden="1" customWidth="1"/>
    <col min="9480" max="9480" width="10" style="9" customWidth="1"/>
    <col min="9481" max="9481" width="10.28515625" style="9" customWidth="1"/>
    <col min="9482" max="9482" width="11.28515625" style="9" customWidth="1"/>
    <col min="9483" max="9483" width="11.5703125" style="9" customWidth="1"/>
    <col min="9484" max="9484" width="9.85546875" style="9" customWidth="1"/>
    <col min="9485" max="9485" width="10.28515625" style="9" customWidth="1"/>
    <col min="9486" max="9486" width="8.85546875" style="9"/>
    <col min="9487" max="9487" width="12.140625" style="9" bestFit="1" customWidth="1"/>
    <col min="9488" max="9496" width="8.85546875" style="9"/>
    <col min="9497" max="9499" width="9.140625" style="9" customWidth="1"/>
    <col min="9500" max="9728" width="8.85546875" style="9"/>
    <col min="9729" max="9729" width="9.7109375" style="9" customWidth="1"/>
    <col min="9730" max="9730" width="68.5703125" style="9" customWidth="1"/>
    <col min="9731" max="9731" width="10.7109375" style="9" customWidth="1"/>
    <col min="9732" max="9732" width="11.140625" style="9" customWidth="1"/>
    <col min="9733" max="9733" width="0.7109375" style="9" customWidth="1"/>
    <col min="9734" max="9735" width="0" style="9" hidden="1" customWidth="1"/>
    <col min="9736" max="9736" width="10" style="9" customWidth="1"/>
    <col min="9737" max="9737" width="10.28515625" style="9" customWidth="1"/>
    <col min="9738" max="9738" width="11.28515625" style="9" customWidth="1"/>
    <col min="9739" max="9739" width="11.5703125" style="9" customWidth="1"/>
    <col min="9740" max="9740" width="9.85546875" style="9" customWidth="1"/>
    <col min="9741" max="9741" width="10.28515625" style="9" customWidth="1"/>
    <col min="9742" max="9742" width="8.85546875" style="9"/>
    <col min="9743" max="9743" width="12.140625" style="9" bestFit="1" customWidth="1"/>
    <col min="9744" max="9752" width="8.85546875" style="9"/>
    <col min="9753" max="9755" width="9.140625" style="9" customWidth="1"/>
    <col min="9756" max="9984" width="8.85546875" style="9"/>
    <col min="9985" max="9985" width="9.7109375" style="9" customWidth="1"/>
    <col min="9986" max="9986" width="68.5703125" style="9" customWidth="1"/>
    <col min="9987" max="9987" width="10.7109375" style="9" customWidth="1"/>
    <col min="9988" max="9988" width="11.140625" style="9" customWidth="1"/>
    <col min="9989" max="9989" width="0.7109375" style="9" customWidth="1"/>
    <col min="9990" max="9991" width="0" style="9" hidden="1" customWidth="1"/>
    <col min="9992" max="9992" width="10" style="9" customWidth="1"/>
    <col min="9993" max="9993" width="10.28515625" style="9" customWidth="1"/>
    <col min="9994" max="9994" width="11.28515625" style="9" customWidth="1"/>
    <col min="9995" max="9995" width="11.5703125" style="9" customWidth="1"/>
    <col min="9996" max="9996" width="9.85546875" style="9" customWidth="1"/>
    <col min="9997" max="9997" width="10.28515625" style="9" customWidth="1"/>
    <col min="9998" max="9998" width="8.85546875" style="9"/>
    <col min="9999" max="9999" width="12.140625" style="9" bestFit="1" customWidth="1"/>
    <col min="10000" max="10008" width="8.85546875" style="9"/>
    <col min="10009" max="10011" width="9.140625" style="9" customWidth="1"/>
    <col min="10012" max="10240" width="8.85546875" style="9"/>
    <col min="10241" max="10241" width="9.7109375" style="9" customWidth="1"/>
    <col min="10242" max="10242" width="68.5703125" style="9" customWidth="1"/>
    <col min="10243" max="10243" width="10.7109375" style="9" customWidth="1"/>
    <col min="10244" max="10244" width="11.140625" style="9" customWidth="1"/>
    <col min="10245" max="10245" width="0.7109375" style="9" customWidth="1"/>
    <col min="10246" max="10247" width="0" style="9" hidden="1" customWidth="1"/>
    <col min="10248" max="10248" width="10" style="9" customWidth="1"/>
    <col min="10249" max="10249" width="10.28515625" style="9" customWidth="1"/>
    <col min="10250" max="10250" width="11.28515625" style="9" customWidth="1"/>
    <col min="10251" max="10251" width="11.5703125" style="9" customWidth="1"/>
    <col min="10252" max="10252" width="9.85546875" style="9" customWidth="1"/>
    <col min="10253" max="10253" width="10.28515625" style="9" customWidth="1"/>
    <col min="10254" max="10254" width="8.85546875" style="9"/>
    <col min="10255" max="10255" width="12.140625" style="9" bestFit="1" customWidth="1"/>
    <col min="10256" max="10264" width="8.85546875" style="9"/>
    <col min="10265" max="10267" width="9.140625" style="9" customWidth="1"/>
    <col min="10268" max="10496" width="8.85546875" style="9"/>
    <col min="10497" max="10497" width="9.7109375" style="9" customWidth="1"/>
    <col min="10498" max="10498" width="68.5703125" style="9" customWidth="1"/>
    <col min="10499" max="10499" width="10.7109375" style="9" customWidth="1"/>
    <col min="10500" max="10500" width="11.140625" style="9" customWidth="1"/>
    <col min="10501" max="10501" width="0.7109375" style="9" customWidth="1"/>
    <col min="10502" max="10503" width="0" style="9" hidden="1" customWidth="1"/>
    <col min="10504" max="10504" width="10" style="9" customWidth="1"/>
    <col min="10505" max="10505" width="10.28515625" style="9" customWidth="1"/>
    <col min="10506" max="10506" width="11.28515625" style="9" customWidth="1"/>
    <col min="10507" max="10507" width="11.5703125" style="9" customWidth="1"/>
    <col min="10508" max="10508" width="9.85546875" style="9" customWidth="1"/>
    <col min="10509" max="10509" width="10.28515625" style="9" customWidth="1"/>
    <col min="10510" max="10510" width="8.85546875" style="9"/>
    <col min="10511" max="10511" width="12.140625" style="9" bestFit="1" customWidth="1"/>
    <col min="10512" max="10520" width="8.85546875" style="9"/>
    <col min="10521" max="10523" width="9.140625" style="9" customWidth="1"/>
    <col min="10524" max="10752" width="8.85546875" style="9"/>
    <col min="10753" max="10753" width="9.7109375" style="9" customWidth="1"/>
    <col min="10754" max="10754" width="68.5703125" style="9" customWidth="1"/>
    <col min="10755" max="10755" width="10.7109375" style="9" customWidth="1"/>
    <col min="10756" max="10756" width="11.140625" style="9" customWidth="1"/>
    <col min="10757" max="10757" width="0.7109375" style="9" customWidth="1"/>
    <col min="10758" max="10759" width="0" style="9" hidden="1" customWidth="1"/>
    <col min="10760" max="10760" width="10" style="9" customWidth="1"/>
    <col min="10761" max="10761" width="10.28515625" style="9" customWidth="1"/>
    <col min="10762" max="10762" width="11.28515625" style="9" customWidth="1"/>
    <col min="10763" max="10763" width="11.5703125" style="9" customWidth="1"/>
    <col min="10764" max="10764" width="9.85546875" style="9" customWidth="1"/>
    <col min="10765" max="10765" width="10.28515625" style="9" customWidth="1"/>
    <col min="10766" max="10766" width="8.85546875" style="9"/>
    <col min="10767" max="10767" width="12.140625" style="9" bestFit="1" customWidth="1"/>
    <col min="10768" max="10776" width="8.85546875" style="9"/>
    <col min="10777" max="10779" width="9.140625" style="9" customWidth="1"/>
    <col min="10780" max="11008" width="8.85546875" style="9"/>
    <col min="11009" max="11009" width="9.7109375" style="9" customWidth="1"/>
    <col min="11010" max="11010" width="68.5703125" style="9" customWidth="1"/>
    <col min="11011" max="11011" width="10.7109375" style="9" customWidth="1"/>
    <col min="11012" max="11012" width="11.140625" style="9" customWidth="1"/>
    <col min="11013" max="11013" width="0.7109375" style="9" customWidth="1"/>
    <col min="11014" max="11015" width="0" style="9" hidden="1" customWidth="1"/>
    <col min="11016" max="11016" width="10" style="9" customWidth="1"/>
    <col min="11017" max="11017" width="10.28515625" style="9" customWidth="1"/>
    <col min="11018" max="11018" width="11.28515625" style="9" customWidth="1"/>
    <col min="11019" max="11019" width="11.5703125" style="9" customWidth="1"/>
    <col min="11020" max="11020" width="9.85546875" style="9" customWidth="1"/>
    <col min="11021" max="11021" width="10.28515625" style="9" customWidth="1"/>
    <col min="11022" max="11022" width="8.85546875" style="9"/>
    <col min="11023" max="11023" width="12.140625" style="9" bestFit="1" customWidth="1"/>
    <col min="11024" max="11032" width="8.85546875" style="9"/>
    <col min="11033" max="11035" width="9.140625" style="9" customWidth="1"/>
    <col min="11036" max="11264" width="8.85546875" style="9"/>
    <col min="11265" max="11265" width="9.7109375" style="9" customWidth="1"/>
    <col min="11266" max="11266" width="68.5703125" style="9" customWidth="1"/>
    <col min="11267" max="11267" width="10.7109375" style="9" customWidth="1"/>
    <col min="11268" max="11268" width="11.140625" style="9" customWidth="1"/>
    <col min="11269" max="11269" width="0.7109375" style="9" customWidth="1"/>
    <col min="11270" max="11271" width="0" style="9" hidden="1" customWidth="1"/>
    <col min="11272" max="11272" width="10" style="9" customWidth="1"/>
    <col min="11273" max="11273" width="10.28515625" style="9" customWidth="1"/>
    <col min="11274" max="11274" width="11.28515625" style="9" customWidth="1"/>
    <col min="11275" max="11275" width="11.5703125" style="9" customWidth="1"/>
    <col min="11276" max="11276" width="9.85546875" style="9" customWidth="1"/>
    <col min="11277" max="11277" width="10.28515625" style="9" customWidth="1"/>
    <col min="11278" max="11278" width="8.85546875" style="9"/>
    <col min="11279" max="11279" width="12.140625" style="9" bestFit="1" customWidth="1"/>
    <col min="11280" max="11288" width="8.85546875" style="9"/>
    <col min="11289" max="11291" width="9.140625" style="9" customWidth="1"/>
    <col min="11292" max="11520" width="8.85546875" style="9"/>
    <col min="11521" max="11521" width="9.7109375" style="9" customWidth="1"/>
    <col min="11522" max="11522" width="68.5703125" style="9" customWidth="1"/>
    <col min="11523" max="11523" width="10.7109375" style="9" customWidth="1"/>
    <col min="11524" max="11524" width="11.140625" style="9" customWidth="1"/>
    <col min="11525" max="11525" width="0.7109375" style="9" customWidth="1"/>
    <col min="11526" max="11527" width="0" style="9" hidden="1" customWidth="1"/>
    <col min="11528" max="11528" width="10" style="9" customWidth="1"/>
    <col min="11529" max="11529" width="10.28515625" style="9" customWidth="1"/>
    <col min="11530" max="11530" width="11.28515625" style="9" customWidth="1"/>
    <col min="11531" max="11531" width="11.5703125" style="9" customWidth="1"/>
    <col min="11532" max="11532" width="9.85546875" style="9" customWidth="1"/>
    <col min="11533" max="11533" width="10.28515625" style="9" customWidth="1"/>
    <col min="11534" max="11534" width="8.85546875" style="9"/>
    <col min="11535" max="11535" width="12.140625" style="9" bestFit="1" customWidth="1"/>
    <col min="11536" max="11544" width="8.85546875" style="9"/>
    <col min="11545" max="11547" width="9.140625" style="9" customWidth="1"/>
    <col min="11548" max="11776" width="8.85546875" style="9"/>
    <col min="11777" max="11777" width="9.7109375" style="9" customWidth="1"/>
    <col min="11778" max="11778" width="68.5703125" style="9" customWidth="1"/>
    <col min="11779" max="11779" width="10.7109375" style="9" customWidth="1"/>
    <col min="11780" max="11780" width="11.140625" style="9" customWidth="1"/>
    <col min="11781" max="11781" width="0.7109375" style="9" customWidth="1"/>
    <col min="11782" max="11783" width="0" style="9" hidden="1" customWidth="1"/>
    <col min="11784" max="11784" width="10" style="9" customWidth="1"/>
    <col min="11785" max="11785" width="10.28515625" style="9" customWidth="1"/>
    <col min="11786" max="11786" width="11.28515625" style="9" customWidth="1"/>
    <col min="11787" max="11787" width="11.5703125" style="9" customWidth="1"/>
    <col min="11788" max="11788" width="9.85546875" style="9" customWidth="1"/>
    <col min="11789" max="11789" width="10.28515625" style="9" customWidth="1"/>
    <col min="11790" max="11790" width="8.85546875" style="9"/>
    <col min="11791" max="11791" width="12.140625" style="9" bestFit="1" customWidth="1"/>
    <col min="11792" max="11800" width="8.85546875" style="9"/>
    <col min="11801" max="11803" width="9.140625" style="9" customWidth="1"/>
    <col min="11804" max="12032" width="8.85546875" style="9"/>
    <col min="12033" max="12033" width="9.7109375" style="9" customWidth="1"/>
    <col min="12034" max="12034" width="68.5703125" style="9" customWidth="1"/>
    <col min="12035" max="12035" width="10.7109375" style="9" customWidth="1"/>
    <col min="12036" max="12036" width="11.140625" style="9" customWidth="1"/>
    <col min="12037" max="12037" width="0.7109375" style="9" customWidth="1"/>
    <col min="12038" max="12039" width="0" style="9" hidden="1" customWidth="1"/>
    <col min="12040" max="12040" width="10" style="9" customWidth="1"/>
    <col min="12041" max="12041" width="10.28515625" style="9" customWidth="1"/>
    <col min="12042" max="12042" width="11.28515625" style="9" customWidth="1"/>
    <col min="12043" max="12043" width="11.5703125" style="9" customWidth="1"/>
    <col min="12044" max="12044" width="9.85546875" style="9" customWidth="1"/>
    <col min="12045" max="12045" width="10.28515625" style="9" customWidth="1"/>
    <col min="12046" max="12046" width="8.85546875" style="9"/>
    <col min="12047" max="12047" width="12.140625" style="9" bestFit="1" customWidth="1"/>
    <col min="12048" max="12056" width="8.85546875" style="9"/>
    <col min="12057" max="12059" width="9.140625" style="9" customWidth="1"/>
    <col min="12060" max="12288" width="8.85546875" style="9"/>
    <col min="12289" max="12289" width="9.7109375" style="9" customWidth="1"/>
    <col min="12290" max="12290" width="68.5703125" style="9" customWidth="1"/>
    <col min="12291" max="12291" width="10.7109375" style="9" customWidth="1"/>
    <col min="12292" max="12292" width="11.140625" style="9" customWidth="1"/>
    <col min="12293" max="12293" width="0.7109375" style="9" customWidth="1"/>
    <col min="12294" max="12295" width="0" style="9" hidden="1" customWidth="1"/>
    <col min="12296" max="12296" width="10" style="9" customWidth="1"/>
    <col min="12297" max="12297" width="10.28515625" style="9" customWidth="1"/>
    <col min="12298" max="12298" width="11.28515625" style="9" customWidth="1"/>
    <col min="12299" max="12299" width="11.5703125" style="9" customWidth="1"/>
    <col min="12300" max="12300" width="9.85546875" style="9" customWidth="1"/>
    <col min="12301" max="12301" width="10.28515625" style="9" customWidth="1"/>
    <col min="12302" max="12302" width="8.85546875" style="9"/>
    <col min="12303" max="12303" width="12.140625" style="9" bestFit="1" customWidth="1"/>
    <col min="12304" max="12312" width="8.85546875" style="9"/>
    <col min="12313" max="12315" width="9.140625" style="9" customWidth="1"/>
    <col min="12316" max="12544" width="8.85546875" style="9"/>
    <col min="12545" max="12545" width="9.7109375" style="9" customWidth="1"/>
    <col min="12546" max="12546" width="68.5703125" style="9" customWidth="1"/>
    <col min="12547" max="12547" width="10.7109375" style="9" customWidth="1"/>
    <col min="12548" max="12548" width="11.140625" style="9" customWidth="1"/>
    <col min="12549" max="12549" width="0.7109375" style="9" customWidth="1"/>
    <col min="12550" max="12551" width="0" style="9" hidden="1" customWidth="1"/>
    <col min="12552" max="12552" width="10" style="9" customWidth="1"/>
    <col min="12553" max="12553" width="10.28515625" style="9" customWidth="1"/>
    <col min="12554" max="12554" width="11.28515625" style="9" customWidth="1"/>
    <col min="12555" max="12555" width="11.5703125" style="9" customWidth="1"/>
    <col min="12556" max="12556" width="9.85546875" style="9" customWidth="1"/>
    <col min="12557" max="12557" width="10.28515625" style="9" customWidth="1"/>
    <col min="12558" max="12558" width="8.85546875" style="9"/>
    <col min="12559" max="12559" width="12.140625" style="9" bestFit="1" customWidth="1"/>
    <col min="12560" max="12568" width="8.85546875" style="9"/>
    <col min="12569" max="12571" width="9.140625" style="9" customWidth="1"/>
    <col min="12572" max="12800" width="8.85546875" style="9"/>
    <col min="12801" max="12801" width="9.7109375" style="9" customWidth="1"/>
    <col min="12802" max="12802" width="68.5703125" style="9" customWidth="1"/>
    <col min="12803" max="12803" width="10.7109375" style="9" customWidth="1"/>
    <col min="12804" max="12804" width="11.140625" style="9" customWidth="1"/>
    <col min="12805" max="12805" width="0.7109375" style="9" customWidth="1"/>
    <col min="12806" max="12807" width="0" style="9" hidden="1" customWidth="1"/>
    <col min="12808" max="12808" width="10" style="9" customWidth="1"/>
    <col min="12809" max="12809" width="10.28515625" style="9" customWidth="1"/>
    <col min="12810" max="12810" width="11.28515625" style="9" customWidth="1"/>
    <col min="12811" max="12811" width="11.5703125" style="9" customWidth="1"/>
    <col min="12812" max="12812" width="9.85546875" style="9" customWidth="1"/>
    <col min="12813" max="12813" width="10.28515625" style="9" customWidth="1"/>
    <col min="12814" max="12814" width="8.85546875" style="9"/>
    <col min="12815" max="12815" width="12.140625" style="9" bestFit="1" customWidth="1"/>
    <col min="12816" max="12824" width="8.85546875" style="9"/>
    <col min="12825" max="12827" width="9.140625" style="9" customWidth="1"/>
    <col min="12828" max="13056" width="8.85546875" style="9"/>
    <col min="13057" max="13057" width="9.7109375" style="9" customWidth="1"/>
    <col min="13058" max="13058" width="68.5703125" style="9" customWidth="1"/>
    <col min="13059" max="13059" width="10.7109375" style="9" customWidth="1"/>
    <col min="13060" max="13060" width="11.140625" style="9" customWidth="1"/>
    <col min="13061" max="13061" width="0.7109375" style="9" customWidth="1"/>
    <col min="13062" max="13063" width="0" style="9" hidden="1" customWidth="1"/>
    <col min="13064" max="13064" width="10" style="9" customWidth="1"/>
    <col min="13065" max="13065" width="10.28515625" style="9" customWidth="1"/>
    <col min="13066" max="13066" width="11.28515625" style="9" customWidth="1"/>
    <col min="13067" max="13067" width="11.5703125" style="9" customWidth="1"/>
    <col min="13068" max="13068" width="9.85546875" style="9" customWidth="1"/>
    <col min="13069" max="13069" width="10.28515625" style="9" customWidth="1"/>
    <col min="13070" max="13070" width="8.85546875" style="9"/>
    <col min="13071" max="13071" width="12.140625" style="9" bestFit="1" customWidth="1"/>
    <col min="13072" max="13080" width="8.85546875" style="9"/>
    <col min="13081" max="13083" width="9.140625" style="9" customWidth="1"/>
    <col min="13084" max="13312" width="8.85546875" style="9"/>
    <col min="13313" max="13313" width="9.7109375" style="9" customWidth="1"/>
    <col min="13314" max="13314" width="68.5703125" style="9" customWidth="1"/>
    <col min="13315" max="13315" width="10.7109375" style="9" customWidth="1"/>
    <col min="13316" max="13316" width="11.140625" style="9" customWidth="1"/>
    <col min="13317" max="13317" width="0.7109375" style="9" customWidth="1"/>
    <col min="13318" max="13319" width="0" style="9" hidden="1" customWidth="1"/>
    <col min="13320" max="13320" width="10" style="9" customWidth="1"/>
    <col min="13321" max="13321" width="10.28515625" style="9" customWidth="1"/>
    <col min="13322" max="13322" width="11.28515625" style="9" customWidth="1"/>
    <col min="13323" max="13323" width="11.5703125" style="9" customWidth="1"/>
    <col min="13324" max="13324" width="9.85546875" style="9" customWidth="1"/>
    <col min="13325" max="13325" width="10.28515625" style="9" customWidth="1"/>
    <col min="13326" max="13326" width="8.85546875" style="9"/>
    <col min="13327" max="13327" width="12.140625" style="9" bestFit="1" customWidth="1"/>
    <col min="13328" max="13336" width="8.85546875" style="9"/>
    <col min="13337" max="13339" width="9.140625" style="9" customWidth="1"/>
    <col min="13340" max="13568" width="8.85546875" style="9"/>
    <col min="13569" max="13569" width="9.7109375" style="9" customWidth="1"/>
    <col min="13570" max="13570" width="68.5703125" style="9" customWidth="1"/>
    <col min="13571" max="13571" width="10.7109375" style="9" customWidth="1"/>
    <col min="13572" max="13572" width="11.140625" style="9" customWidth="1"/>
    <col min="13573" max="13573" width="0.7109375" style="9" customWidth="1"/>
    <col min="13574" max="13575" width="0" style="9" hidden="1" customWidth="1"/>
    <col min="13576" max="13576" width="10" style="9" customWidth="1"/>
    <col min="13577" max="13577" width="10.28515625" style="9" customWidth="1"/>
    <col min="13578" max="13578" width="11.28515625" style="9" customWidth="1"/>
    <col min="13579" max="13579" width="11.5703125" style="9" customWidth="1"/>
    <col min="13580" max="13580" width="9.85546875" style="9" customWidth="1"/>
    <col min="13581" max="13581" width="10.28515625" style="9" customWidth="1"/>
    <col min="13582" max="13582" width="8.85546875" style="9"/>
    <col min="13583" max="13583" width="12.140625" style="9" bestFit="1" customWidth="1"/>
    <col min="13584" max="13592" width="8.85546875" style="9"/>
    <col min="13593" max="13595" width="9.140625" style="9" customWidth="1"/>
    <col min="13596" max="13824" width="8.85546875" style="9"/>
    <col min="13825" max="13825" width="9.7109375" style="9" customWidth="1"/>
    <col min="13826" max="13826" width="68.5703125" style="9" customWidth="1"/>
    <col min="13827" max="13827" width="10.7109375" style="9" customWidth="1"/>
    <col min="13828" max="13828" width="11.140625" style="9" customWidth="1"/>
    <col min="13829" max="13829" width="0.7109375" style="9" customWidth="1"/>
    <col min="13830" max="13831" width="0" style="9" hidden="1" customWidth="1"/>
    <col min="13832" max="13832" width="10" style="9" customWidth="1"/>
    <col min="13833" max="13833" width="10.28515625" style="9" customWidth="1"/>
    <col min="13834" max="13834" width="11.28515625" style="9" customWidth="1"/>
    <col min="13835" max="13835" width="11.5703125" style="9" customWidth="1"/>
    <col min="13836" max="13836" width="9.85546875" style="9" customWidth="1"/>
    <col min="13837" max="13837" width="10.28515625" style="9" customWidth="1"/>
    <col min="13838" max="13838" width="8.85546875" style="9"/>
    <col min="13839" max="13839" width="12.140625" style="9" bestFit="1" customWidth="1"/>
    <col min="13840" max="13848" width="8.85546875" style="9"/>
    <col min="13849" max="13851" width="9.140625" style="9" customWidth="1"/>
    <col min="13852" max="14080" width="8.85546875" style="9"/>
    <col min="14081" max="14081" width="9.7109375" style="9" customWidth="1"/>
    <col min="14082" max="14082" width="68.5703125" style="9" customWidth="1"/>
    <col min="14083" max="14083" width="10.7109375" style="9" customWidth="1"/>
    <col min="14084" max="14084" width="11.140625" style="9" customWidth="1"/>
    <col min="14085" max="14085" width="0.7109375" style="9" customWidth="1"/>
    <col min="14086" max="14087" width="0" style="9" hidden="1" customWidth="1"/>
    <col min="14088" max="14088" width="10" style="9" customWidth="1"/>
    <col min="14089" max="14089" width="10.28515625" style="9" customWidth="1"/>
    <col min="14090" max="14090" width="11.28515625" style="9" customWidth="1"/>
    <col min="14091" max="14091" width="11.5703125" style="9" customWidth="1"/>
    <col min="14092" max="14092" width="9.85546875" style="9" customWidth="1"/>
    <col min="14093" max="14093" width="10.28515625" style="9" customWidth="1"/>
    <col min="14094" max="14094" width="8.85546875" style="9"/>
    <col min="14095" max="14095" width="12.140625" style="9" bestFit="1" customWidth="1"/>
    <col min="14096" max="14104" width="8.85546875" style="9"/>
    <col min="14105" max="14107" width="9.140625" style="9" customWidth="1"/>
    <col min="14108" max="14336" width="8.85546875" style="9"/>
    <col min="14337" max="14337" width="9.7109375" style="9" customWidth="1"/>
    <col min="14338" max="14338" width="68.5703125" style="9" customWidth="1"/>
    <col min="14339" max="14339" width="10.7109375" style="9" customWidth="1"/>
    <col min="14340" max="14340" width="11.140625" style="9" customWidth="1"/>
    <col min="14341" max="14341" width="0.7109375" style="9" customWidth="1"/>
    <col min="14342" max="14343" width="0" style="9" hidden="1" customWidth="1"/>
    <col min="14344" max="14344" width="10" style="9" customWidth="1"/>
    <col min="14345" max="14345" width="10.28515625" style="9" customWidth="1"/>
    <col min="14346" max="14346" width="11.28515625" style="9" customWidth="1"/>
    <col min="14347" max="14347" width="11.5703125" style="9" customWidth="1"/>
    <col min="14348" max="14348" width="9.85546875" style="9" customWidth="1"/>
    <col min="14349" max="14349" width="10.28515625" style="9" customWidth="1"/>
    <col min="14350" max="14350" width="8.85546875" style="9"/>
    <col min="14351" max="14351" width="12.140625" style="9" bestFit="1" customWidth="1"/>
    <col min="14352" max="14360" width="8.85546875" style="9"/>
    <col min="14361" max="14363" width="9.140625" style="9" customWidth="1"/>
    <col min="14364" max="14592" width="8.85546875" style="9"/>
    <col min="14593" max="14593" width="9.7109375" style="9" customWidth="1"/>
    <col min="14594" max="14594" width="68.5703125" style="9" customWidth="1"/>
    <col min="14595" max="14595" width="10.7109375" style="9" customWidth="1"/>
    <col min="14596" max="14596" width="11.140625" style="9" customWidth="1"/>
    <col min="14597" max="14597" width="0.7109375" style="9" customWidth="1"/>
    <col min="14598" max="14599" width="0" style="9" hidden="1" customWidth="1"/>
    <col min="14600" max="14600" width="10" style="9" customWidth="1"/>
    <col min="14601" max="14601" width="10.28515625" style="9" customWidth="1"/>
    <col min="14602" max="14602" width="11.28515625" style="9" customWidth="1"/>
    <col min="14603" max="14603" width="11.5703125" style="9" customWidth="1"/>
    <col min="14604" max="14604" width="9.85546875" style="9" customWidth="1"/>
    <col min="14605" max="14605" width="10.28515625" style="9" customWidth="1"/>
    <col min="14606" max="14606" width="8.85546875" style="9"/>
    <col min="14607" max="14607" width="12.140625" style="9" bestFit="1" customWidth="1"/>
    <col min="14608" max="14616" width="8.85546875" style="9"/>
    <col min="14617" max="14619" width="9.140625" style="9" customWidth="1"/>
    <col min="14620" max="14848" width="8.85546875" style="9"/>
    <col min="14849" max="14849" width="9.7109375" style="9" customWidth="1"/>
    <col min="14850" max="14850" width="68.5703125" style="9" customWidth="1"/>
    <col min="14851" max="14851" width="10.7109375" style="9" customWidth="1"/>
    <col min="14852" max="14852" width="11.140625" style="9" customWidth="1"/>
    <col min="14853" max="14853" width="0.7109375" style="9" customWidth="1"/>
    <col min="14854" max="14855" width="0" style="9" hidden="1" customWidth="1"/>
    <col min="14856" max="14856" width="10" style="9" customWidth="1"/>
    <col min="14857" max="14857" width="10.28515625" style="9" customWidth="1"/>
    <col min="14858" max="14858" width="11.28515625" style="9" customWidth="1"/>
    <col min="14859" max="14859" width="11.5703125" style="9" customWidth="1"/>
    <col min="14860" max="14860" width="9.85546875" style="9" customWidth="1"/>
    <col min="14861" max="14861" width="10.28515625" style="9" customWidth="1"/>
    <col min="14862" max="14862" width="8.85546875" style="9"/>
    <col min="14863" max="14863" width="12.140625" style="9" bestFit="1" customWidth="1"/>
    <col min="14864" max="14872" width="8.85546875" style="9"/>
    <col min="14873" max="14875" width="9.140625" style="9" customWidth="1"/>
    <col min="14876" max="15104" width="8.85546875" style="9"/>
    <col min="15105" max="15105" width="9.7109375" style="9" customWidth="1"/>
    <col min="15106" max="15106" width="68.5703125" style="9" customWidth="1"/>
    <col min="15107" max="15107" width="10.7109375" style="9" customWidth="1"/>
    <col min="15108" max="15108" width="11.140625" style="9" customWidth="1"/>
    <col min="15109" max="15109" width="0.7109375" style="9" customWidth="1"/>
    <col min="15110" max="15111" width="0" style="9" hidden="1" customWidth="1"/>
    <col min="15112" max="15112" width="10" style="9" customWidth="1"/>
    <col min="15113" max="15113" width="10.28515625" style="9" customWidth="1"/>
    <col min="15114" max="15114" width="11.28515625" style="9" customWidth="1"/>
    <col min="15115" max="15115" width="11.5703125" style="9" customWidth="1"/>
    <col min="15116" max="15116" width="9.85546875" style="9" customWidth="1"/>
    <col min="15117" max="15117" width="10.28515625" style="9" customWidth="1"/>
    <col min="15118" max="15118" width="8.85546875" style="9"/>
    <col min="15119" max="15119" width="12.140625" style="9" bestFit="1" customWidth="1"/>
    <col min="15120" max="15128" width="8.85546875" style="9"/>
    <col min="15129" max="15131" width="9.140625" style="9" customWidth="1"/>
    <col min="15132" max="15360" width="8.85546875" style="9"/>
    <col min="15361" max="15361" width="9.7109375" style="9" customWidth="1"/>
    <col min="15362" max="15362" width="68.5703125" style="9" customWidth="1"/>
    <col min="15363" max="15363" width="10.7109375" style="9" customWidth="1"/>
    <col min="15364" max="15364" width="11.140625" style="9" customWidth="1"/>
    <col min="15365" max="15365" width="0.7109375" style="9" customWidth="1"/>
    <col min="15366" max="15367" width="0" style="9" hidden="1" customWidth="1"/>
    <col min="15368" max="15368" width="10" style="9" customWidth="1"/>
    <col min="15369" max="15369" width="10.28515625" style="9" customWidth="1"/>
    <col min="15370" max="15370" width="11.28515625" style="9" customWidth="1"/>
    <col min="15371" max="15371" width="11.5703125" style="9" customWidth="1"/>
    <col min="15372" max="15372" width="9.85546875" style="9" customWidth="1"/>
    <col min="15373" max="15373" width="10.28515625" style="9" customWidth="1"/>
    <col min="15374" max="15374" width="8.85546875" style="9"/>
    <col min="15375" max="15375" width="12.140625" style="9" bestFit="1" customWidth="1"/>
    <col min="15376" max="15384" width="8.85546875" style="9"/>
    <col min="15385" max="15387" width="9.140625" style="9" customWidth="1"/>
    <col min="15388" max="15616" width="8.85546875" style="9"/>
    <col min="15617" max="15617" width="9.7109375" style="9" customWidth="1"/>
    <col min="15618" max="15618" width="68.5703125" style="9" customWidth="1"/>
    <col min="15619" max="15619" width="10.7109375" style="9" customWidth="1"/>
    <col min="15620" max="15620" width="11.140625" style="9" customWidth="1"/>
    <col min="15621" max="15621" width="0.7109375" style="9" customWidth="1"/>
    <col min="15622" max="15623" width="0" style="9" hidden="1" customWidth="1"/>
    <col min="15624" max="15624" width="10" style="9" customWidth="1"/>
    <col min="15625" max="15625" width="10.28515625" style="9" customWidth="1"/>
    <col min="15626" max="15626" width="11.28515625" style="9" customWidth="1"/>
    <col min="15627" max="15627" width="11.5703125" style="9" customWidth="1"/>
    <col min="15628" max="15628" width="9.85546875" style="9" customWidth="1"/>
    <col min="15629" max="15629" width="10.28515625" style="9" customWidth="1"/>
    <col min="15630" max="15630" width="8.85546875" style="9"/>
    <col min="15631" max="15631" width="12.140625" style="9" bestFit="1" customWidth="1"/>
    <col min="15632" max="15640" width="8.85546875" style="9"/>
    <col min="15641" max="15643" width="9.140625" style="9" customWidth="1"/>
    <col min="15644" max="15872" width="8.85546875" style="9"/>
    <col min="15873" max="15873" width="9.7109375" style="9" customWidth="1"/>
    <col min="15874" max="15874" width="68.5703125" style="9" customWidth="1"/>
    <col min="15875" max="15875" width="10.7109375" style="9" customWidth="1"/>
    <col min="15876" max="15876" width="11.140625" style="9" customWidth="1"/>
    <col min="15877" max="15877" width="0.7109375" style="9" customWidth="1"/>
    <col min="15878" max="15879" width="0" style="9" hidden="1" customWidth="1"/>
    <col min="15880" max="15880" width="10" style="9" customWidth="1"/>
    <col min="15881" max="15881" width="10.28515625" style="9" customWidth="1"/>
    <col min="15882" max="15882" width="11.28515625" style="9" customWidth="1"/>
    <col min="15883" max="15883" width="11.5703125" style="9" customWidth="1"/>
    <col min="15884" max="15884" width="9.85546875" style="9" customWidth="1"/>
    <col min="15885" max="15885" width="10.28515625" style="9" customWidth="1"/>
    <col min="15886" max="15886" width="8.85546875" style="9"/>
    <col min="15887" max="15887" width="12.140625" style="9" bestFit="1" customWidth="1"/>
    <col min="15888" max="15896" width="8.85546875" style="9"/>
    <col min="15897" max="15899" width="9.140625" style="9" customWidth="1"/>
    <col min="15900" max="16128" width="8.85546875" style="9"/>
    <col min="16129" max="16129" width="9.7109375" style="9" customWidth="1"/>
    <col min="16130" max="16130" width="68.5703125" style="9" customWidth="1"/>
    <col min="16131" max="16131" width="10.7109375" style="9" customWidth="1"/>
    <col min="16132" max="16132" width="11.140625" style="9" customWidth="1"/>
    <col min="16133" max="16133" width="0.7109375" style="9" customWidth="1"/>
    <col min="16134" max="16135" width="0" style="9" hidden="1" customWidth="1"/>
    <col min="16136" max="16136" width="10" style="9" customWidth="1"/>
    <col min="16137" max="16137" width="10.28515625" style="9" customWidth="1"/>
    <col min="16138" max="16138" width="11.28515625" style="9" customWidth="1"/>
    <col min="16139" max="16139" width="11.5703125" style="9" customWidth="1"/>
    <col min="16140" max="16140" width="9.85546875" style="9" customWidth="1"/>
    <col min="16141" max="16141" width="10.28515625" style="9" customWidth="1"/>
    <col min="16142" max="16142" width="8.85546875" style="9"/>
    <col min="16143" max="16143" width="12.140625" style="9" bestFit="1" customWidth="1"/>
    <col min="16144" max="16152" width="8.85546875" style="9"/>
    <col min="16153" max="16155" width="9.140625" style="9" customWidth="1"/>
    <col min="16156" max="16384" width="8.85546875" style="9"/>
  </cols>
  <sheetData>
    <row r="2" spans="1:27" ht="15.75" customHeight="1">
      <c r="T2" s="1755" t="s">
        <v>184</v>
      </c>
      <c r="U2" s="1755"/>
      <c r="V2" s="1755"/>
      <c r="W2" s="1755"/>
      <c r="X2" s="1755"/>
    </row>
    <row r="3" spans="1:27" ht="15.75" customHeight="1">
      <c r="T3" s="1755" t="s">
        <v>185</v>
      </c>
      <c r="U3" s="1755"/>
      <c r="V3" s="1755"/>
      <c r="W3" s="1755"/>
      <c r="X3" s="1755"/>
    </row>
    <row r="4" spans="1:27" ht="15.75" customHeight="1">
      <c r="T4" s="1755" t="s">
        <v>186</v>
      </c>
      <c r="U4" s="1755"/>
      <c r="V4" s="1755"/>
      <c r="W4" s="1755"/>
      <c r="X4" s="1755"/>
    </row>
    <row r="5" spans="1:27" ht="18" customHeight="1">
      <c r="T5" s="1755" t="s">
        <v>187</v>
      </c>
      <c r="U5" s="1755"/>
      <c r="V5" s="1755"/>
      <c r="W5" s="1755"/>
      <c r="X5" s="1755"/>
    </row>
    <row r="6" spans="1:27" ht="32.25" customHeight="1">
      <c r="T6" s="1755" t="s">
        <v>210</v>
      </c>
      <c r="U6" s="1755"/>
      <c r="V6" s="1755"/>
      <c r="W6" s="1755"/>
      <c r="X6" s="1755"/>
    </row>
    <row r="7" spans="1:27" ht="53.25" customHeight="1">
      <c r="A7" s="1754" t="s">
        <v>299</v>
      </c>
      <c r="B7" s="1754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29"/>
      <c r="O7" s="29"/>
      <c r="P7" s="29"/>
      <c r="Q7" s="29"/>
      <c r="R7" s="29"/>
      <c r="S7" s="29"/>
      <c r="T7" s="29"/>
      <c r="U7" s="9"/>
      <c r="V7" s="9"/>
      <c r="W7" s="9"/>
      <c r="X7" s="9"/>
    </row>
    <row r="8" spans="1:27" ht="18.75">
      <c r="A8" s="603" t="s">
        <v>190</v>
      </c>
      <c r="B8" s="603"/>
      <c r="C8" s="603"/>
      <c r="D8" s="900"/>
      <c r="E8" s="900"/>
      <c r="F8" s="900"/>
      <c r="G8" s="900"/>
      <c r="H8" s="900"/>
      <c r="I8" s="603"/>
      <c r="J8" s="603"/>
      <c r="K8" s="900"/>
      <c r="L8" s="603"/>
      <c r="M8" s="603"/>
      <c r="N8" s="630"/>
      <c r="O8" s="30"/>
      <c r="P8" s="603"/>
      <c r="Q8" s="603"/>
      <c r="R8" s="603"/>
      <c r="S8" s="603"/>
      <c r="T8" s="603"/>
      <c r="U8" s="9"/>
      <c r="V8" s="9"/>
      <c r="W8" s="9"/>
      <c r="X8" s="9"/>
    </row>
    <row r="9" spans="1:27" ht="15.75" thickBot="1">
      <c r="A9" s="11"/>
      <c r="D9" s="901"/>
      <c r="E9" s="901"/>
      <c r="F9" s="924"/>
      <c r="G9" s="924"/>
      <c r="H9" s="924"/>
      <c r="I9" s="13"/>
      <c r="J9" s="13"/>
      <c r="K9" s="901"/>
      <c r="L9" s="13"/>
      <c r="M9" s="13"/>
      <c r="N9" s="13"/>
      <c r="O9" s="13"/>
      <c r="P9" s="12"/>
      <c r="Q9" s="13"/>
      <c r="R9" s="31"/>
      <c r="S9" s="31"/>
      <c r="T9" s="13"/>
      <c r="U9" s="31"/>
      <c r="W9" s="31"/>
      <c r="X9" s="31"/>
    </row>
    <row r="10" spans="1:27" ht="27.75" customHeight="1" thickBot="1">
      <c r="A10" s="1723" t="s">
        <v>1</v>
      </c>
      <c r="B10" s="1751" t="s">
        <v>2</v>
      </c>
      <c r="C10" s="1752" t="s">
        <v>3</v>
      </c>
      <c r="D10" s="1753" t="s">
        <v>192</v>
      </c>
      <c r="E10" s="1750" t="s">
        <v>5</v>
      </c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49" t="s">
        <v>6</v>
      </c>
      <c r="S10" s="1749"/>
      <c r="T10" s="1749"/>
      <c r="U10" s="1749" t="s">
        <v>7</v>
      </c>
      <c r="V10" s="1749"/>
      <c r="W10" s="1750" t="s">
        <v>8</v>
      </c>
      <c r="X10" s="1750"/>
    </row>
    <row r="11" spans="1:27" ht="149.25" customHeight="1" thickTop="1" thickBot="1">
      <c r="A11" s="1723"/>
      <c r="B11" s="1751"/>
      <c r="C11" s="1752"/>
      <c r="D11" s="1753"/>
      <c r="E11" s="1757" t="s">
        <v>9</v>
      </c>
      <c r="F11" s="1757"/>
      <c r="G11" s="1757"/>
      <c r="H11" s="1749" t="s">
        <v>10</v>
      </c>
      <c r="I11" s="1749"/>
      <c r="J11" s="1749"/>
      <c r="K11" s="1749" t="s">
        <v>11</v>
      </c>
      <c r="L11" s="1749"/>
      <c r="M11" s="1749"/>
      <c r="N11" s="1749" t="s">
        <v>12</v>
      </c>
      <c r="O11" s="1749"/>
      <c r="P11" s="1749" t="s">
        <v>13</v>
      </c>
      <c r="Q11" s="1749"/>
      <c r="R11" s="1749"/>
      <c r="S11" s="1749"/>
      <c r="T11" s="1749"/>
      <c r="U11" s="1749"/>
      <c r="V11" s="1749"/>
      <c r="W11" s="1750"/>
      <c r="X11" s="1750"/>
    </row>
    <row r="12" spans="1:27" ht="13.5" customHeight="1" thickTop="1" thickBot="1">
      <c r="A12" s="1723"/>
      <c r="B12" s="1751"/>
      <c r="C12" s="1752"/>
      <c r="D12" s="1753"/>
      <c r="E12" s="902" t="s">
        <v>14</v>
      </c>
      <c r="F12" s="942" t="s">
        <v>15</v>
      </c>
      <c r="G12" s="942" t="s">
        <v>16</v>
      </c>
      <c r="H12" s="925" t="s">
        <v>14</v>
      </c>
      <c r="I12" s="35" t="s">
        <v>15</v>
      </c>
      <c r="J12" s="35" t="s">
        <v>16</v>
      </c>
      <c r="K12" s="902" t="s">
        <v>14</v>
      </c>
      <c r="L12" s="35" t="s">
        <v>15</v>
      </c>
      <c r="M12" s="35" t="s">
        <v>16</v>
      </c>
      <c r="N12" s="32" t="s">
        <v>4</v>
      </c>
      <c r="O12" s="33" t="s">
        <v>16</v>
      </c>
      <c r="P12" s="32" t="s">
        <v>4</v>
      </c>
      <c r="Q12" s="36" t="s">
        <v>17</v>
      </c>
      <c r="R12" s="32" t="s">
        <v>4</v>
      </c>
      <c r="S12" s="33" t="s">
        <v>15</v>
      </c>
      <c r="T12" s="33" t="s">
        <v>16</v>
      </c>
      <c r="U12" s="32" t="s">
        <v>4</v>
      </c>
      <c r="V12" s="37" t="s">
        <v>18</v>
      </c>
      <c r="W12" s="32" t="s">
        <v>4</v>
      </c>
      <c r="X12" s="37" t="s">
        <v>18</v>
      </c>
    </row>
    <row r="13" spans="1:27" ht="46.35" customHeight="1" thickTop="1" thickBot="1">
      <c r="A13" s="38" t="s">
        <v>19</v>
      </c>
      <c r="B13" s="39" t="s">
        <v>20</v>
      </c>
      <c r="C13" s="40" t="s">
        <v>21</v>
      </c>
      <c r="D13" s="903">
        <f>H13+K13</f>
        <v>1101.5300000000002</v>
      </c>
      <c r="E13" s="903">
        <f>E16+E23+E34+E36+E39+E41+E43+E45+E47+E49+E51+E53+E55+E57+E59+E61+E63+E65+E67+E69+E71</f>
        <v>0</v>
      </c>
      <c r="F13" s="903">
        <f>F16+F23+F34+F36+F39+F41+F43+F45+F47+F49+F51+F53+F55+F57+F59+F61+F63+F65+F67+F69+F71</f>
        <v>0</v>
      </c>
      <c r="G13" s="903">
        <f>G16+G23+G34+G36+G39+G41+G43+G45+G47+G49+G51+G53+G55+G57+G59+G61+G63+G65+G67+G69+G71</f>
        <v>0</v>
      </c>
      <c r="H13" s="943">
        <f t="shared" ref="H13:I13" si="0">H16+H23+H34+H36+H39+H41+H43+H45+H47+H49+H51+H53+H55+H57+H59+H61+H63+H65+H67+H69+H71</f>
        <v>1090.3110000000001</v>
      </c>
      <c r="I13" s="606">
        <f t="shared" si="0"/>
        <v>1090.3110000000001</v>
      </c>
      <c r="J13" s="41">
        <f>J16+J23+J34+J36+J39+J41+J43+J45+J47+J49+J51+J53+J55+J57+J59+J61+J63+J65+J67+J69+J71</f>
        <v>0</v>
      </c>
      <c r="K13" s="903">
        <f>L13+M13</f>
        <v>11.218999999999999</v>
      </c>
      <c r="L13" s="41">
        <f>L16+L23+L34+L36+L39+L41+L43+L45+L47+L49+L51+L53+L55+L57+L59+L61+L63+L65+L67+L69+L71</f>
        <v>11.218999999999999</v>
      </c>
      <c r="M13" s="41">
        <f>M16+M23+M34+M36+M39+M41+M43+M45+M47+M49+M51+M53+M55+M57+M59+M61+M63+M65+M67+M69+M71</f>
        <v>0</v>
      </c>
      <c r="N13" s="971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</row>
    <row r="14" spans="1:27" ht="31.5" customHeight="1" thickBot="1">
      <c r="A14" s="1718">
        <v>1</v>
      </c>
      <c r="B14" s="535" t="s">
        <v>22</v>
      </c>
      <c r="C14" s="517" t="s">
        <v>23</v>
      </c>
      <c r="D14" s="903">
        <f t="shared" ref="D14:D77" si="1">H14+K14</f>
        <v>20</v>
      </c>
      <c r="E14" s="904"/>
      <c r="F14" s="904"/>
      <c r="G14" s="944"/>
      <c r="H14" s="926">
        <f>I14+J14</f>
        <v>19</v>
      </c>
      <c r="I14" s="430">
        <v>19</v>
      </c>
      <c r="J14" s="430"/>
      <c r="K14" s="932">
        <f t="shared" ref="K14:K77" si="2">L14+M14</f>
        <v>1</v>
      </c>
      <c r="L14" s="430">
        <v>1</v>
      </c>
      <c r="M14" s="430">
        <v>0</v>
      </c>
      <c r="N14" s="50"/>
      <c r="O14" s="536"/>
      <c r="P14" s="536"/>
      <c r="Q14" s="536"/>
      <c r="R14" s="536"/>
      <c r="S14" s="536"/>
      <c r="T14" s="536"/>
      <c r="U14" s="536"/>
      <c r="V14" s="536"/>
      <c r="W14" s="536"/>
      <c r="X14" s="536"/>
    </row>
    <row r="15" spans="1:27" ht="16.5" thickBot="1">
      <c r="A15" s="1718"/>
      <c r="B15" s="539"/>
      <c r="C15" s="518" t="s">
        <v>24</v>
      </c>
      <c r="D15" s="903">
        <f t="shared" si="1"/>
        <v>4.5999999999999999E-2</v>
      </c>
      <c r="E15" s="905">
        <f>E17+E19+E21</f>
        <v>0</v>
      </c>
      <c r="F15" s="905">
        <f>F17+F19+F21</f>
        <v>0</v>
      </c>
      <c r="G15" s="905">
        <f>G17+G19+G21</f>
        <v>0</v>
      </c>
      <c r="H15" s="926">
        <f t="shared" ref="H15:H78" si="3">I15+J15</f>
        <v>4.3999999999999997E-2</v>
      </c>
      <c r="I15" s="607">
        <f>I17+I19</f>
        <v>4.3999999999999997E-2</v>
      </c>
      <c r="J15" s="434"/>
      <c r="K15" s="932">
        <f t="shared" si="2"/>
        <v>2E-3</v>
      </c>
      <c r="L15" s="434">
        <f>L17+L19</f>
        <v>2E-3</v>
      </c>
      <c r="M15" s="434">
        <f>M17+M19</f>
        <v>0</v>
      </c>
      <c r="N15" s="54">
        <f t="shared" ref="N15:X16" si="4">N17+N19</f>
        <v>0</v>
      </c>
      <c r="O15" s="85">
        <f t="shared" si="4"/>
        <v>0</v>
      </c>
      <c r="P15" s="85">
        <f t="shared" si="4"/>
        <v>0</v>
      </c>
      <c r="Q15" s="85">
        <f t="shared" si="4"/>
        <v>0</v>
      </c>
      <c r="R15" s="85">
        <f t="shared" si="4"/>
        <v>0</v>
      </c>
      <c r="S15" s="85">
        <f t="shared" si="4"/>
        <v>0</v>
      </c>
      <c r="T15" s="85">
        <f t="shared" si="4"/>
        <v>0</v>
      </c>
      <c r="U15" s="85">
        <f t="shared" si="4"/>
        <v>0</v>
      </c>
      <c r="V15" s="85">
        <f t="shared" si="4"/>
        <v>0</v>
      </c>
      <c r="W15" s="85">
        <f t="shared" si="4"/>
        <v>0</v>
      </c>
      <c r="X15" s="85">
        <f t="shared" si="4"/>
        <v>0</v>
      </c>
      <c r="Y15" s="9"/>
      <c r="Z15" s="9"/>
      <c r="AA15" s="9"/>
    </row>
    <row r="16" spans="1:27" ht="16.5" thickBot="1">
      <c r="A16" s="1718"/>
      <c r="B16" s="541" t="s">
        <v>25</v>
      </c>
      <c r="C16" s="519" t="s">
        <v>21</v>
      </c>
      <c r="D16" s="903">
        <f>D18+D20</f>
        <v>79.960999999999999</v>
      </c>
      <c r="E16" s="906">
        <f>E18+E20</f>
        <v>0</v>
      </c>
      <c r="F16" s="906">
        <f>F18+F20</f>
        <v>0</v>
      </c>
      <c r="G16" s="945">
        <f>G18+G20</f>
        <v>0</v>
      </c>
      <c r="H16" s="926">
        <f t="shared" si="3"/>
        <v>79.376999999999995</v>
      </c>
      <c r="I16" s="607">
        <f>I18+I20</f>
        <v>79.376999999999995</v>
      </c>
      <c r="J16" s="434"/>
      <c r="K16" s="932">
        <f t="shared" si="2"/>
        <v>0.58399999999999996</v>
      </c>
      <c r="L16" s="434">
        <f>L18+L20+L21</f>
        <v>0.58399999999999996</v>
      </c>
      <c r="M16" s="434">
        <f>M18+M20+M21</f>
        <v>0</v>
      </c>
      <c r="N16" s="59">
        <f t="shared" si="4"/>
        <v>0</v>
      </c>
      <c r="O16" s="94">
        <f t="shared" si="4"/>
        <v>0</v>
      </c>
      <c r="P16" s="94">
        <f t="shared" si="4"/>
        <v>0</v>
      </c>
      <c r="Q16" s="94">
        <f t="shared" si="4"/>
        <v>0</v>
      </c>
      <c r="R16" s="94">
        <f t="shared" si="4"/>
        <v>0</v>
      </c>
      <c r="S16" s="94">
        <f t="shared" si="4"/>
        <v>0</v>
      </c>
      <c r="T16" s="94">
        <f t="shared" si="4"/>
        <v>0</v>
      </c>
      <c r="U16" s="94">
        <f t="shared" si="4"/>
        <v>0</v>
      </c>
      <c r="V16" s="94">
        <f t="shared" si="4"/>
        <v>0</v>
      </c>
      <c r="W16" s="94">
        <f t="shared" si="4"/>
        <v>0</v>
      </c>
      <c r="X16" s="94">
        <f t="shared" si="4"/>
        <v>0</v>
      </c>
      <c r="Y16" s="9"/>
      <c r="Z16" s="9"/>
      <c r="AA16" s="9"/>
    </row>
    <row r="17" spans="1:27" ht="16.5" thickBot="1">
      <c r="A17" s="544" t="s">
        <v>26</v>
      </c>
      <c r="B17" s="545" t="s">
        <v>27</v>
      </c>
      <c r="C17" s="519" t="s">
        <v>24</v>
      </c>
      <c r="D17" s="903">
        <f t="shared" si="1"/>
        <v>2.5000000000000001E-2</v>
      </c>
      <c r="E17" s="906">
        <f>F17+G17</f>
        <v>0</v>
      </c>
      <c r="F17" s="930"/>
      <c r="G17" s="946"/>
      <c r="H17" s="926">
        <f t="shared" si="3"/>
        <v>2.5000000000000001E-2</v>
      </c>
      <c r="I17" s="608">
        <v>2.5000000000000001E-2</v>
      </c>
      <c r="J17" s="608"/>
      <c r="K17" s="932">
        <f t="shared" si="2"/>
        <v>0</v>
      </c>
      <c r="L17" s="608"/>
      <c r="M17" s="608"/>
      <c r="N17" s="59">
        <f t="shared" ref="N17:N32" si="5">O17</f>
        <v>0</v>
      </c>
      <c r="O17" s="547"/>
      <c r="P17" s="542">
        <f t="shared" ref="P17:P71" si="6">Q17</f>
        <v>0</v>
      </c>
      <c r="Q17" s="90"/>
      <c r="R17" s="97">
        <f t="shared" ref="R17:R71" si="7">S17+T17</f>
        <v>0</v>
      </c>
      <c r="S17" s="90"/>
      <c r="T17" s="90"/>
      <c r="U17" s="97">
        <f t="shared" ref="U17:U71" si="8">V17</f>
        <v>0</v>
      </c>
      <c r="V17" s="90"/>
      <c r="W17" s="97">
        <f t="shared" ref="W17:W39" si="9">X17</f>
        <v>0</v>
      </c>
      <c r="X17" s="90"/>
      <c r="Y17" s="9"/>
      <c r="Z17" s="9"/>
      <c r="AA17" s="9"/>
    </row>
    <row r="18" spans="1:27" ht="16.5" thickBot="1">
      <c r="A18" s="548"/>
      <c r="B18" s="545"/>
      <c r="C18" s="519" t="s">
        <v>21</v>
      </c>
      <c r="D18" s="903">
        <f t="shared" si="1"/>
        <v>69.460999999999999</v>
      </c>
      <c r="E18" s="906">
        <f>F18+G18</f>
        <v>0</v>
      </c>
      <c r="F18" s="930"/>
      <c r="G18" s="946"/>
      <c r="H18" s="926">
        <f t="shared" si="3"/>
        <v>69.460999999999999</v>
      </c>
      <c r="I18" s="608">
        <v>69.460999999999999</v>
      </c>
      <c r="J18" s="608"/>
      <c r="K18" s="932">
        <f t="shared" si="2"/>
        <v>0</v>
      </c>
      <c r="L18" s="608"/>
      <c r="M18" s="608"/>
      <c r="N18" s="66">
        <f t="shared" si="5"/>
        <v>0</v>
      </c>
      <c r="O18" s="89"/>
      <c r="P18" s="97">
        <f t="shared" si="6"/>
        <v>0</v>
      </c>
      <c r="Q18" s="90"/>
      <c r="R18" s="97">
        <f t="shared" si="7"/>
        <v>0</v>
      </c>
      <c r="S18" s="90"/>
      <c r="T18" s="90"/>
      <c r="U18" s="97">
        <f t="shared" si="8"/>
        <v>0</v>
      </c>
      <c r="V18" s="90"/>
      <c r="W18" s="97">
        <f t="shared" si="9"/>
        <v>0</v>
      </c>
      <c r="X18" s="90"/>
      <c r="Y18" s="9"/>
      <c r="Z18" s="9"/>
      <c r="AA18" s="9"/>
    </row>
    <row r="19" spans="1:27" ht="16.5" thickBot="1">
      <c r="A19" s="548" t="s">
        <v>28</v>
      </c>
      <c r="B19" s="545" t="s">
        <v>29</v>
      </c>
      <c r="C19" s="519" t="s">
        <v>24</v>
      </c>
      <c r="D19" s="903">
        <f>H19+L19</f>
        <v>2.0999999999999998E-2</v>
      </c>
      <c r="E19" s="906">
        <f>F19+G19</f>
        <v>0</v>
      </c>
      <c r="F19" s="930"/>
      <c r="G19" s="946"/>
      <c r="H19" s="926">
        <f t="shared" si="3"/>
        <v>1.9E-2</v>
      </c>
      <c r="I19" s="609">
        <v>1.9E-2</v>
      </c>
      <c r="J19" s="608"/>
      <c r="K19" s="932">
        <f t="shared" si="2"/>
        <v>2E-3</v>
      </c>
      <c r="L19" s="608">
        <v>2E-3</v>
      </c>
      <c r="M19" s="608"/>
      <c r="N19" s="66">
        <f t="shared" si="5"/>
        <v>0</v>
      </c>
      <c r="O19" s="89"/>
      <c r="P19" s="97">
        <f t="shared" si="6"/>
        <v>0</v>
      </c>
      <c r="Q19" s="90"/>
      <c r="R19" s="97">
        <f t="shared" si="7"/>
        <v>0</v>
      </c>
      <c r="S19" s="90"/>
      <c r="T19" s="90"/>
      <c r="U19" s="97">
        <f t="shared" si="8"/>
        <v>0</v>
      </c>
      <c r="V19" s="90"/>
      <c r="W19" s="97">
        <f t="shared" si="9"/>
        <v>0</v>
      </c>
      <c r="X19" s="90"/>
      <c r="Y19" s="9"/>
      <c r="Z19" s="9"/>
      <c r="AA19" s="9"/>
    </row>
    <row r="20" spans="1:27" ht="16.5" thickBot="1">
      <c r="A20" s="550"/>
      <c r="B20" s="551"/>
      <c r="C20" s="520" t="s">
        <v>21</v>
      </c>
      <c r="D20" s="903">
        <f t="shared" si="1"/>
        <v>10.5</v>
      </c>
      <c r="E20" s="907">
        <f>F20+G20</f>
        <v>0</v>
      </c>
      <c r="F20" s="947"/>
      <c r="G20" s="948"/>
      <c r="H20" s="926">
        <f t="shared" si="3"/>
        <v>9.9160000000000004</v>
      </c>
      <c r="I20" s="608">
        <v>9.9160000000000004</v>
      </c>
      <c r="J20" s="608"/>
      <c r="K20" s="932">
        <f t="shared" si="2"/>
        <v>0.58399999999999996</v>
      </c>
      <c r="L20" s="608">
        <v>0.58399999999999996</v>
      </c>
      <c r="M20" s="608"/>
      <c r="N20" s="75">
        <f t="shared" si="5"/>
        <v>0</v>
      </c>
      <c r="O20" s="89"/>
      <c r="P20" s="555">
        <f t="shared" si="6"/>
        <v>0</v>
      </c>
      <c r="Q20" s="90"/>
      <c r="R20" s="555">
        <f t="shared" si="7"/>
        <v>0</v>
      </c>
      <c r="S20" s="90"/>
      <c r="T20" s="90"/>
      <c r="U20" s="555">
        <f t="shared" si="8"/>
        <v>0</v>
      </c>
      <c r="V20" s="90"/>
      <c r="W20" s="555">
        <f t="shared" si="9"/>
        <v>0</v>
      </c>
      <c r="X20" s="90"/>
      <c r="Y20" s="9"/>
      <c r="Z20" s="9"/>
      <c r="AA20" s="9"/>
    </row>
    <row r="21" spans="1:27" ht="16.5" thickBot="1">
      <c r="A21" s="76" t="s">
        <v>30</v>
      </c>
      <c r="B21" s="77" t="s">
        <v>31</v>
      </c>
      <c r="C21" s="521" t="s">
        <v>21</v>
      </c>
      <c r="D21" s="903">
        <f t="shared" si="1"/>
        <v>0</v>
      </c>
      <c r="E21" s="908">
        <v>0</v>
      </c>
      <c r="F21" s="908">
        <v>0</v>
      </c>
      <c r="G21" s="949">
        <v>0</v>
      </c>
      <c r="H21" s="926">
        <f t="shared" si="3"/>
        <v>0</v>
      </c>
      <c r="I21" s="20"/>
      <c r="J21" s="20"/>
      <c r="K21" s="932">
        <f t="shared" si="2"/>
        <v>0</v>
      </c>
      <c r="L21" s="20"/>
      <c r="M21" s="20"/>
      <c r="N21" s="81">
        <f t="shared" si="5"/>
        <v>0</v>
      </c>
      <c r="O21" s="68"/>
      <c r="P21" s="81">
        <f t="shared" si="6"/>
        <v>0</v>
      </c>
      <c r="Q21" s="65"/>
      <c r="R21" s="81">
        <f t="shared" si="7"/>
        <v>0</v>
      </c>
      <c r="S21" s="65"/>
      <c r="T21" s="65"/>
      <c r="U21" s="81">
        <f t="shared" si="8"/>
        <v>0</v>
      </c>
      <c r="V21" s="65"/>
      <c r="W21" s="81">
        <f t="shared" si="9"/>
        <v>0</v>
      </c>
      <c r="X21" s="65"/>
      <c r="Y21" s="9"/>
      <c r="Z21" s="9"/>
      <c r="AA21" s="9"/>
    </row>
    <row r="22" spans="1:27" s="15" customFormat="1" thickBot="1">
      <c r="A22" s="82">
        <v>2</v>
      </c>
      <c r="B22" s="83" t="s">
        <v>32</v>
      </c>
      <c r="C22" s="84" t="s">
        <v>33</v>
      </c>
      <c r="D22" s="41">
        <f>H22+K22</f>
        <v>2</v>
      </c>
      <c r="E22" s="85"/>
      <c r="F22" s="86"/>
      <c r="G22" s="87"/>
      <c r="H22" s="48">
        <f t="shared" si="3"/>
        <v>2</v>
      </c>
      <c r="I22" s="86">
        <f>1+1</f>
        <v>2</v>
      </c>
      <c r="J22" s="86"/>
      <c r="K22" s="41">
        <f t="shared" si="2"/>
        <v>0</v>
      </c>
      <c r="L22" s="86">
        <v>0</v>
      </c>
      <c r="M22" s="86"/>
      <c r="N22" s="507">
        <f t="shared" si="5"/>
        <v>0</v>
      </c>
      <c r="O22" s="89"/>
      <c r="P22" s="88">
        <f t="shared" si="6"/>
        <v>0</v>
      </c>
      <c r="Q22" s="90"/>
      <c r="R22" s="88">
        <f t="shared" si="7"/>
        <v>0</v>
      </c>
      <c r="S22" s="90"/>
      <c r="T22" s="90"/>
      <c r="U22" s="88">
        <f t="shared" si="8"/>
        <v>0</v>
      </c>
      <c r="V22" s="90"/>
      <c r="W22" s="88">
        <f t="shared" si="9"/>
        <v>0</v>
      </c>
      <c r="X22" s="90"/>
    </row>
    <row r="23" spans="1:27" s="15" customFormat="1" thickBot="1">
      <c r="A23" s="91"/>
      <c r="B23" s="92" t="s">
        <v>34</v>
      </c>
      <c r="C23" s="93" t="s">
        <v>21</v>
      </c>
      <c r="D23" s="41">
        <f t="shared" si="1"/>
        <v>713.28100000000018</v>
      </c>
      <c r="E23" s="94"/>
      <c r="F23" s="95"/>
      <c r="G23" s="96"/>
      <c r="H23" s="48">
        <f t="shared" si="3"/>
        <v>713.28100000000018</v>
      </c>
      <c r="I23" s="95">
        <f>I25+I27+I32</f>
        <v>713.28100000000018</v>
      </c>
      <c r="J23" s="95"/>
      <c r="K23" s="41">
        <f t="shared" si="2"/>
        <v>0</v>
      </c>
      <c r="L23" s="95">
        <f>L25+L27+L29+L31+L32</f>
        <v>0</v>
      </c>
      <c r="M23" s="95">
        <f>M25+M27+M29+M31+M32</f>
        <v>0</v>
      </c>
      <c r="N23" s="66">
        <f t="shared" si="5"/>
        <v>0</v>
      </c>
      <c r="O23" s="89"/>
      <c r="P23" s="97">
        <f t="shared" si="6"/>
        <v>0</v>
      </c>
      <c r="Q23" s="90"/>
      <c r="R23" s="97">
        <f t="shared" si="7"/>
        <v>0</v>
      </c>
      <c r="S23" s="90"/>
      <c r="T23" s="90"/>
      <c r="U23" s="97">
        <f t="shared" si="8"/>
        <v>0</v>
      </c>
      <c r="V23" s="90"/>
      <c r="W23" s="97">
        <f t="shared" si="9"/>
        <v>0</v>
      </c>
      <c r="X23" s="90"/>
    </row>
    <row r="24" spans="1:27" thickBot="1">
      <c r="A24" s="510" t="s">
        <v>35</v>
      </c>
      <c r="B24" s="504" t="s">
        <v>36</v>
      </c>
      <c r="C24" s="84" t="s">
        <v>37</v>
      </c>
      <c r="D24" s="903">
        <f t="shared" si="1"/>
        <v>55.83</v>
      </c>
      <c r="E24" s="906"/>
      <c r="F24" s="930"/>
      <c r="G24" s="946"/>
      <c r="H24" s="926">
        <f t="shared" si="3"/>
        <v>55.83</v>
      </c>
      <c r="I24" s="62">
        <f>18.85+36.98</f>
        <v>55.83</v>
      </c>
      <c r="J24" s="62"/>
      <c r="K24" s="903">
        <f t="shared" si="2"/>
        <v>0</v>
      </c>
      <c r="L24" s="62"/>
      <c r="M24" s="62"/>
      <c r="N24" s="66">
        <f t="shared" si="5"/>
        <v>0</v>
      </c>
      <c r="O24" s="68"/>
      <c r="P24" s="66">
        <f t="shared" si="6"/>
        <v>0</v>
      </c>
      <c r="Q24" s="65"/>
      <c r="R24" s="66">
        <f t="shared" si="7"/>
        <v>0</v>
      </c>
      <c r="S24" s="65"/>
      <c r="T24" s="65"/>
      <c r="U24" s="66">
        <f t="shared" si="8"/>
        <v>0</v>
      </c>
      <c r="V24" s="65"/>
      <c r="W24" s="66">
        <f t="shared" si="9"/>
        <v>0</v>
      </c>
      <c r="X24" s="65"/>
      <c r="Y24" s="9"/>
      <c r="Z24" s="9"/>
      <c r="AA24" s="9"/>
    </row>
    <row r="25" spans="1:27" thickBot="1">
      <c r="A25" s="510"/>
      <c r="B25" s="504"/>
      <c r="C25" s="84" t="s">
        <v>21</v>
      </c>
      <c r="D25" s="903">
        <f t="shared" si="1"/>
        <v>462.76700000000005</v>
      </c>
      <c r="E25" s="906"/>
      <c r="F25" s="930"/>
      <c r="G25" s="946"/>
      <c r="H25" s="926">
        <f t="shared" si="3"/>
        <v>462.76700000000005</v>
      </c>
      <c r="I25" s="62">
        <f>188.763+274.004</f>
        <v>462.76700000000005</v>
      </c>
      <c r="J25" s="62"/>
      <c r="K25" s="903">
        <f t="shared" si="2"/>
        <v>0</v>
      </c>
      <c r="L25" s="62"/>
      <c r="M25" s="62"/>
      <c r="N25" s="66">
        <f t="shared" si="5"/>
        <v>0</v>
      </c>
      <c r="O25" s="68"/>
      <c r="P25" s="66">
        <f t="shared" si="6"/>
        <v>0</v>
      </c>
      <c r="Q25" s="65"/>
      <c r="R25" s="66">
        <f t="shared" si="7"/>
        <v>0</v>
      </c>
      <c r="S25" s="65"/>
      <c r="T25" s="65"/>
      <c r="U25" s="66">
        <f t="shared" si="8"/>
        <v>0</v>
      </c>
      <c r="V25" s="65"/>
      <c r="W25" s="66">
        <f t="shared" si="9"/>
        <v>0</v>
      </c>
      <c r="X25" s="65"/>
      <c r="Y25" s="9"/>
      <c r="Z25" s="9"/>
      <c r="AA25" s="9"/>
    </row>
    <row r="26" spans="1:27" thickBot="1">
      <c r="A26" s="511" t="s">
        <v>38</v>
      </c>
      <c r="B26" s="512" t="s">
        <v>39</v>
      </c>
      <c r="C26" s="522" t="s">
        <v>40</v>
      </c>
      <c r="D26" s="903">
        <f t="shared" si="1"/>
        <v>142.80000000000001</v>
      </c>
      <c r="E26" s="906"/>
      <c r="F26" s="930"/>
      <c r="G26" s="946"/>
      <c r="H26" s="926">
        <f t="shared" si="3"/>
        <v>142.80000000000001</v>
      </c>
      <c r="I26" s="62">
        <f>50.4+92.4</f>
        <v>142.80000000000001</v>
      </c>
      <c r="J26" s="62"/>
      <c r="K26" s="903">
        <f t="shared" si="2"/>
        <v>0</v>
      </c>
      <c r="L26" s="62"/>
      <c r="M26" s="62"/>
      <c r="N26" s="66">
        <f t="shared" si="5"/>
        <v>0</v>
      </c>
      <c r="O26" s="68"/>
      <c r="P26" s="66">
        <f t="shared" si="6"/>
        <v>0</v>
      </c>
      <c r="Q26" s="65"/>
      <c r="R26" s="66">
        <f t="shared" si="7"/>
        <v>0</v>
      </c>
      <c r="S26" s="65"/>
      <c r="T26" s="65"/>
      <c r="U26" s="66">
        <f t="shared" si="8"/>
        <v>0</v>
      </c>
      <c r="V26" s="65"/>
      <c r="W26" s="66">
        <f t="shared" si="9"/>
        <v>0</v>
      </c>
      <c r="X26" s="65"/>
      <c r="Y26" s="9"/>
      <c r="Z26" s="9"/>
      <c r="AA26" s="9"/>
    </row>
    <row r="27" spans="1:27" ht="16.5" thickBot="1">
      <c r="A27" s="508"/>
      <c r="B27" s="513" t="s">
        <v>41</v>
      </c>
      <c r="C27" s="93" t="s">
        <v>21</v>
      </c>
      <c r="D27" s="903">
        <f t="shared" si="1"/>
        <v>212.48700000000002</v>
      </c>
      <c r="E27" s="906"/>
      <c r="F27" s="930"/>
      <c r="G27" s="946"/>
      <c r="H27" s="926">
        <f t="shared" si="3"/>
        <v>212.48700000000002</v>
      </c>
      <c r="I27" s="62">
        <f>71.765+140.722</f>
        <v>212.48700000000002</v>
      </c>
      <c r="J27" s="62"/>
      <c r="K27" s="903">
        <f t="shared" si="2"/>
        <v>0</v>
      </c>
      <c r="L27" s="62"/>
      <c r="M27" s="62"/>
      <c r="N27" s="66">
        <f t="shared" si="5"/>
        <v>0</v>
      </c>
      <c r="O27" s="68"/>
      <c r="P27" s="66">
        <f t="shared" si="6"/>
        <v>0</v>
      </c>
      <c r="Q27" s="65"/>
      <c r="R27" s="66">
        <f t="shared" si="7"/>
        <v>0</v>
      </c>
      <c r="S27" s="65"/>
      <c r="T27" s="65"/>
      <c r="U27" s="66">
        <f t="shared" si="8"/>
        <v>0</v>
      </c>
      <c r="V27" s="65"/>
      <c r="W27" s="66">
        <f t="shared" si="9"/>
        <v>0</v>
      </c>
      <c r="X27" s="65"/>
      <c r="Y27" s="9"/>
      <c r="Z27" s="9"/>
      <c r="AA27" s="9"/>
    </row>
    <row r="28" spans="1:27" ht="16.5" thickBot="1">
      <c r="A28" s="511" t="s">
        <v>42</v>
      </c>
      <c r="B28" s="514" t="s">
        <v>43</v>
      </c>
      <c r="C28" s="522" t="s">
        <v>40</v>
      </c>
      <c r="D28" s="903">
        <f t="shared" si="1"/>
        <v>0</v>
      </c>
      <c r="E28" s="906"/>
      <c r="F28" s="930"/>
      <c r="G28" s="946"/>
      <c r="H28" s="926">
        <f t="shared" si="3"/>
        <v>0</v>
      </c>
      <c r="I28" s="62"/>
      <c r="J28" s="62"/>
      <c r="K28" s="903">
        <f t="shared" si="2"/>
        <v>0</v>
      </c>
      <c r="L28" s="62"/>
      <c r="M28" s="62"/>
      <c r="N28" s="66">
        <f t="shared" si="5"/>
        <v>0</v>
      </c>
      <c r="O28" s="68"/>
      <c r="P28" s="66">
        <f t="shared" si="6"/>
        <v>0</v>
      </c>
      <c r="Q28" s="65"/>
      <c r="R28" s="66">
        <f t="shared" si="7"/>
        <v>0</v>
      </c>
      <c r="S28" s="65"/>
      <c r="T28" s="65"/>
      <c r="U28" s="66">
        <f t="shared" si="8"/>
        <v>0</v>
      </c>
      <c r="V28" s="65"/>
      <c r="W28" s="66">
        <f t="shared" si="9"/>
        <v>0</v>
      </c>
      <c r="X28" s="65"/>
      <c r="Y28" s="9"/>
      <c r="Z28" s="9"/>
      <c r="AA28" s="9"/>
    </row>
    <row r="29" spans="1:27" ht="16.5" thickBot="1">
      <c r="A29" s="508"/>
      <c r="B29" s="513" t="s">
        <v>44</v>
      </c>
      <c r="C29" s="93" t="s">
        <v>21</v>
      </c>
      <c r="D29" s="903">
        <f t="shared" si="1"/>
        <v>0</v>
      </c>
      <c r="E29" s="906"/>
      <c r="F29" s="930"/>
      <c r="G29" s="946"/>
      <c r="H29" s="926">
        <f t="shared" si="3"/>
        <v>0</v>
      </c>
      <c r="I29" s="62"/>
      <c r="J29" s="62"/>
      <c r="K29" s="903">
        <f t="shared" si="2"/>
        <v>0</v>
      </c>
      <c r="L29" s="62"/>
      <c r="M29" s="62"/>
      <c r="N29" s="66">
        <f t="shared" si="5"/>
        <v>0</v>
      </c>
      <c r="O29" s="68"/>
      <c r="P29" s="66">
        <f t="shared" si="6"/>
        <v>0</v>
      </c>
      <c r="Q29" s="65"/>
      <c r="R29" s="66">
        <f t="shared" si="7"/>
        <v>0</v>
      </c>
      <c r="S29" s="65"/>
      <c r="T29" s="65"/>
      <c r="U29" s="66">
        <f t="shared" si="8"/>
        <v>0</v>
      </c>
      <c r="V29" s="65"/>
      <c r="W29" s="66">
        <f t="shared" si="9"/>
        <v>0</v>
      </c>
      <c r="X29" s="65"/>
      <c r="Y29" s="9"/>
      <c r="Z29" s="9"/>
      <c r="AA29" s="9"/>
    </row>
    <row r="30" spans="1:27" ht="16.5" thickBot="1">
      <c r="A30" s="511" t="s">
        <v>45</v>
      </c>
      <c r="B30" s="514" t="s">
        <v>46</v>
      </c>
      <c r="C30" s="522" t="s">
        <v>47</v>
      </c>
      <c r="D30" s="903">
        <f t="shared" si="1"/>
        <v>0</v>
      </c>
      <c r="E30" s="906"/>
      <c r="F30" s="930"/>
      <c r="G30" s="946"/>
      <c r="H30" s="926">
        <f t="shared" si="3"/>
        <v>0</v>
      </c>
      <c r="I30" s="62"/>
      <c r="J30" s="62"/>
      <c r="K30" s="903">
        <f t="shared" si="2"/>
        <v>0</v>
      </c>
      <c r="L30" s="62"/>
      <c r="M30" s="62"/>
      <c r="N30" s="66">
        <f t="shared" si="5"/>
        <v>0</v>
      </c>
      <c r="O30" s="68"/>
      <c r="P30" s="66">
        <f t="shared" si="6"/>
        <v>0</v>
      </c>
      <c r="Q30" s="65"/>
      <c r="R30" s="66">
        <f t="shared" si="7"/>
        <v>0</v>
      </c>
      <c r="S30" s="65"/>
      <c r="T30" s="65"/>
      <c r="U30" s="66">
        <f t="shared" si="8"/>
        <v>0</v>
      </c>
      <c r="V30" s="65"/>
      <c r="W30" s="66">
        <f t="shared" si="9"/>
        <v>0</v>
      </c>
      <c r="X30" s="65"/>
      <c r="Y30" s="9"/>
      <c r="Z30" s="9"/>
      <c r="AA30" s="9"/>
    </row>
    <row r="31" spans="1:27" ht="16.5" thickBot="1">
      <c r="A31" s="508"/>
      <c r="B31" s="513"/>
      <c r="C31" s="84" t="s">
        <v>21</v>
      </c>
      <c r="D31" s="903">
        <f t="shared" si="1"/>
        <v>0</v>
      </c>
      <c r="E31" s="906"/>
      <c r="F31" s="930"/>
      <c r="G31" s="946"/>
      <c r="H31" s="926">
        <f t="shared" si="3"/>
        <v>0</v>
      </c>
      <c r="I31" s="62"/>
      <c r="J31" s="62"/>
      <c r="K31" s="903">
        <f t="shared" si="2"/>
        <v>0</v>
      </c>
      <c r="L31" s="62"/>
      <c r="M31" s="62"/>
      <c r="N31" s="66">
        <f t="shared" si="5"/>
        <v>0</v>
      </c>
      <c r="O31" s="68"/>
      <c r="P31" s="66">
        <f t="shared" si="6"/>
        <v>0</v>
      </c>
      <c r="Q31" s="65"/>
      <c r="R31" s="66">
        <f t="shared" si="7"/>
        <v>0</v>
      </c>
      <c r="S31" s="65"/>
      <c r="T31" s="65"/>
      <c r="U31" s="66">
        <f t="shared" si="8"/>
        <v>0</v>
      </c>
      <c r="V31" s="65"/>
      <c r="W31" s="66">
        <f t="shared" si="9"/>
        <v>0</v>
      </c>
      <c r="X31" s="65"/>
      <c r="Y31" s="9"/>
      <c r="Z31" s="9"/>
      <c r="AA31" s="9"/>
    </row>
    <row r="32" spans="1:27" ht="16.5" thickBot="1">
      <c r="A32" s="508" t="s">
        <v>48</v>
      </c>
      <c r="B32" s="515" t="s">
        <v>49</v>
      </c>
      <c r="C32" s="521" t="s">
        <v>21</v>
      </c>
      <c r="D32" s="903">
        <f t="shared" si="1"/>
        <v>38.027000000000001</v>
      </c>
      <c r="E32" s="906"/>
      <c r="F32" s="930"/>
      <c r="G32" s="946"/>
      <c r="H32" s="926">
        <f t="shared" si="3"/>
        <v>38.027000000000001</v>
      </c>
      <c r="I32" s="62">
        <f>8.413+29.614</f>
        <v>38.027000000000001</v>
      </c>
      <c r="J32" s="62"/>
      <c r="K32" s="903">
        <f t="shared" si="2"/>
        <v>0</v>
      </c>
      <c r="L32" s="62"/>
      <c r="M32" s="62"/>
      <c r="N32" s="66">
        <f t="shared" si="5"/>
        <v>0</v>
      </c>
      <c r="O32" s="68"/>
      <c r="P32" s="66">
        <f t="shared" si="6"/>
        <v>0</v>
      </c>
      <c r="Q32" s="65"/>
      <c r="R32" s="66">
        <f t="shared" si="7"/>
        <v>0</v>
      </c>
      <c r="S32" s="65"/>
      <c r="T32" s="65"/>
      <c r="U32" s="66">
        <f t="shared" si="8"/>
        <v>0</v>
      </c>
      <c r="V32" s="65"/>
      <c r="W32" s="66">
        <f t="shared" si="9"/>
        <v>0</v>
      </c>
      <c r="X32" s="65"/>
      <c r="Y32" s="9"/>
      <c r="Z32" s="9"/>
      <c r="AA32" s="9"/>
    </row>
    <row r="33" spans="1:27" ht="16.5" thickBot="1">
      <c r="A33" s="111">
        <v>3</v>
      </c>
      <c r="B33" s="1" t="s">
        <v>50</v>
      </c>
      <c r="C33" s="518" t="s">
        <v>51</v>
      </c>
      <c r="D33" s="903">
        <f t="shared" si="1"/>
        <v>7.6999999999999999E-2</v>
      </c>
      <c r="E33" s="906">
        <f t="shared" ref="E33:E39" si="10">F33+G33</f>
        <v>0</v>
      </c>
      <c r="F33" s="930"/>
      <c r="G33" s="946"/>
      <c r="H33" s="926">
        <f t="shared" si="3"/>
        <v>7.6999999999999999E-2</v>
      </c>
      <c r="I33" s="62">
        <f>0.037+0.04</f>
        <v>7.6999999999999999E-2</v>
      </c>
      <c r="J33" s="62"/>
      <c r="K33" s="903">
        <f t="shared" si="2"/>
        <v>0</v>
      </c>
      <c r="L33" s="62"/>
      <c r="M33" s="62"/>
      <c r="N33" s="66">
        <v>0</v>
      </c>
      <c r="O33" s="68"/>
      <c r="P33" s="66">
        <f t="shared" si="6"/>
        <v>0</v>
      </c>
      <c r="Q33" s="65"/>
      <c r="R33" s="66">
        <f t="shared" si="7"/>
        <v>0</v>
      </c>
      <c r="S33" s="65"/>
      <c r="T33" s="65"/>
      <c r="U33" s="66">
        <f t="shared" si="8"/>
        <v>0</v>
      </c>
      <c r="V33" s="65"/>
      <c r="W33" s="66">
        <f t="shared" si="9"/>
        <v>0</v>
      </c>
      <c r="X33" s="65"/>
      <c r="Y33" s="9"/>
      <c r="Z33" s="9"/>
      <c r="AA33" s="9"/>
    </row>
    <row r="34" spans="1:27" ht="16.5" thickBot="1">
      <c r="A34" s="69"/>
      <c r="B34" s="112" t="s">
        <v>52</v>
      </c>
      <c r="C34" s="520" t="s">
        <v>21</v>
      </c>
      <c r="D34" s="903">
        <f t="shared" si="1"/>
        <v>49.73</v>
      </c>
      <c r="E34" s="906">
        <f t="shared" si="10"/>
        <v>0</v>
      </c>
      <c r="F34" s="930"/>
      <c r="G34" s="946"/>
      <c r="H34" s="926">
        <f t="shared" si="3"/>
        <v>49.73</v>
      </c>
      <c r="I34" s="62">
        <f>49.73</f>
        <v>49.73</v>
      </c>
      <c r="J34" s="62"/>
      <c r="K34" s="903">
        <f t="shared" si="2"/>
        <v>0</v>
      </c>
      <c r="L34" s="62"/>
      <c r="M34" s="62"/>
      <c r="N34" s="66">
        <v>0</v>
      </c>
      <c r="O34" s="68"/>
      <c r="P34" s="66">
        <f t="shared" si="6"/>
        <v>0</v>
      </c>
      <c r="Q34" s="65"/>
      <c r="R34" s="66">
        <f t="shared" si="7"/>
        <v>0</v>
      </c>
      <c r="S34" s="65"/>
      <c r="T34" s="65"/>
      <c r="U34" s="66">
        <f t="shared" si="8"/>
        <v>0</v>
      </c>
      <c r="V34" s="65"/>
      <c r="W34" s="66">
        <f t="shared" si="9"/>
        <v>0</v>
      </c>
      <c r="X34" s="65"/>
      <c r="Y34" s="9"/>
      <c r="Z34" s="9"/>
      <c r="AA34" s="9"/>
    </row>
    <row r="35" spans="1:27" ht="16.5" thickBot="1">
      <c r="A35" s="113">
        <v>4</v>
      </c>
      <c r="B35" s="114" t="s">
        <v>53</v>
      </c>
      <c r="C35" s="523" t="s">
        <v>24</v>
      </c>
      <c r="D35" s="903">
        <f t="shared" si="1"/>
        <v>0.124</v>
      </c>
      <c r="E35" s="906">
        <f t="shared" si="10"/>
        <v>0</v>
      </c>
      <c r="F35" s="930"/>
      <c r="G35" s="946"/>
      <c r="H35" s="926">
        <f t="shared" si="3"/>
        <v>0.124</v>
      </c>
      <c r="I35" s="610">
        <v>0.124</v>
      </c>
      <c r="J35" s="62"/>
      <c r="K35" s="903">
        <f t="shared" si="2"/>
        <v>0</v>
      </c>
      <c r="L35" s="62"/>
      <c r="M35" s="62"/>
      <c r="N35" s="59">
        <f t="shared" ref="N35:N71" si="11">O35</f>
        <v>0</v>
      </c>
      <c r="O35" s="116"/>
      <c r="P35" s="57">
        <f t="shared" si="6"/>
        <v>0</v>
      </c>
      <c r="Q35" s="53"/>
      <c r="R35" s="57">
        <f t="shared" si="7"/>
        <v>0</v>
      </c>
      <c r="S35" s="53"/>
      <c r="T35" s="53"/>
      <c r="U35" s="57">
        <f t="shared" si="8"/>
        <v>0</v>
      </c>
      <c r="V35" s="53"/>
      <c r="W35" s="57">
        <f t="shared" si="9"/>
        <v>0</v>
      </c>
      <c r="X35" s="53"/>
      <c r="Y35" s="9"/>
      <c r="Z35" s="9"/>
      <c r="AA35" s="9"/>
    </row>
    <row r="36" spans="1:27" ht="16.5" thickBot="1">
      <c r="A36" s="117"/>
      <c r="B36" s="118"/>
      <c r="C36" s="524" t="s">
        <v>21</v>
      </c>
      <c r="D36" s="903">
        <f t="shared" si="1"/>
        <v>36.607999999999997</v>
      </c>
      <c r="E36" s="906">
        <f t="shared" si="10"/>
        <v>0</v>
      </c>
      <c r="F36" s="930"/>
      <c r="G36" s="946"/>
      <c r="H36" s="926">
        <f t="shared" si="3"/>
        <v>36.607999999999997</v>
      </c>
      <c r="I36" s="610">
        <v>36.607999999999997</v>
      </c>
      <c r="J36" s="62"/>
      <c r="K36" s="903">
        <f t="shared" si="2"/>
        <v>0</v>
      </c>
      <c r="L36" s="62"/>
      <c r="M36" s="62"/>
      <c r="N36" s="59">
        <f t="shared" si="11"/>
        <v>0</v>
      </c>
      <c r="O36" s="120"/>
      <c r="P36" s="57">
        <f t="shared" si="6"/>
        <v>0</v>
      </c>
      <c r="Q36" s="121"/>
      <c r="R36" s="57">
        <f t="shared" si="7"/>
        <v>0</v>
      </c>
      <c r="S36" s="121"/>
      <c r="T36" s="121"/>
      <c r="U36" s="57">
        <f t="shared" si="8"/>
        <v>0</v>
      </c>
      <c r="V36" s="121"/>
      <c r="W36" s="57">
        <f t="shared" si="9"/>
        <v>0</v>
      </c>
      <c r="X36" s="121"/>
      <c r="Y36" s="9"/>
      <c r="Z36" s="9"/>
      <c r="AA36" s="9"/>
    </row>
    <row r="37" spans="1:27" ht="16.5" thickBot="1">
      <c r="A37" s="113">
        <v>5</v>
      </c>
      <c r="B37" s="114" t="s">
        <v>54</v>
      </c>
      <c r="C37" s="523" t="s">
        <v>24</v>
      </c>
      <c r="D37" s="903">
        <f t="shared" si="1"/>
        <v>0.106</v>
      </c>
      <c r="E37" s="906">
        <f t="shared" si="10"/>
        <v>0</v>
      </c>
      <c r="F37" s="930"/>
      <c r="G37" s="946"/>
      <c r="H37" s="926">
        <f t="shared" si="3"/>
        <v>0.106</v>
      </c>
      <c r="I37" s="62">
        <v>0.106</v>
      </c>
      <c r="J37" s="62"/>
      <c r="K37" s="903">
        <f t="shared" si="2"/>
        <v>0</v>
      </c>
      <c r="L37" s="62"/>
      <c r="M37" s="62"/>
      <c r="N37" s="59">
        <f t="shared" si="11"/>
        <v>0</v>
      </c>
      <c r="O37" s="122"/>
      <c r="P37" s="57">
        <f t="shared" si="6"/>
        <v>0</v>
      </c>
      <c r="Q37" s="123"/>
      <c r="R37" s="57">
        <f t="shared" si="7"/>
        <v>0</v>
      </c>
      <c r="S37" s="123"/>
      <c r="T37" s="123"/>
      <c r="U37" s="57">
        <f t="shared" si="8"/>
        <v>0</v>
      </c>
      <c r="V37" s="123"/>
      <c r="W37" s="57">
        <f t="shared" si="9"/>
        <v>0</v>
      </c>
      <c r="X37" s="123"/>
      <c r="Y37" s="9"/>
      <c r="Z37" s="9"/>
      <c r="AA37" s="9"/>
    </row>
    <row r="38" spans="1:27" ht="16.5" thickBot="1">
      <c r="A38" s="124"/>
      <c r="B38" s="112" t="s">
        <v>55</v>
      </c>
      <c r="C38" s="519" t="s">
        <v>56</v>
      </c>
      <c r="D38" s="903">
        <f t="shared" si="1"/>
        <v>1</v>
      </c>
      <c r="E38" s="906">
        <f t="shared" si="10"/>
        <v>0</v>
      </c>
      <c r="F38" s="930"/>
      <c r="G38" s="946"/>
      <c r="H38" s="926">
        <f t="shared" si="3"/>
        <v>1</v>
      </c>
      <c r="I38" s="62">
        <v>1</v>
      </c>
      <c r="J38" s="62"/>
      <c r="K38" s="903">
        <f t="shared" si="2"/>
        <v>0</v>
      </c>
      <c r="L38" s="62"/>
      <c r="M38" s="62"/>
      <c r="N38" s="59">
        <f t="shared" si="11"/>
        <v>0</v>
      </c>
      <c r="O38" s="116"/>
      <c r="P38" s="57">
        <f t="shared" si="6"/>
        <v>0</v>
      </c>
      <c r="Q38" s="125"/>
      <c r="R38" s="57">
        <f t="shared" si="7"/>
        <v>0</v>
      </c>
      <c r="S38" s="125"/>
      <c r="T38" s="125"/>
      <c r="U38" s="57">
        <f t="shared" si="8"/>
        <v>0</v>
      </c>
      <c r="V38" s="125"/>
      <c r="W38" s="57">
        <f t="shared" si="9"/>
        <v>0</v>
      </c>
      <c r="X38" s="125"/>
      <c r="Y38" s="9"/>
      <c r="Z38" s="9"/>
      <c r="AA38" s="9"/>
    </row>
    <row r="39" spans="1:27" ht="16.5" thickBot="1">
      <c r="A39" s="126"/>
      <c r="B39" s="127"/>
      <c r="C39" s="84" t="s">
        <v>21</v>
      </c>
      <c r="D39" s="903">
        <f t="shared" si="1"/>
        <v>71.414000000000001</v>
      </c>
      <c r="E39" s="907">
        <f t="shared" si="10"/>
        <v>0</v>
      </c>
      <c r="F39" s="947"/>
      <c r="G39" s="948"/>
      <c r="H39" s="926">
        <f t="shared" si="3"/>
        <v>71.414000000000001</v>
      </c>
      <c r="I39" s="62">
        <v>71.414000000000001</v>
      </c>
      <c r="J39" s="62"/>
      <c r="K39" s="903">
        <f t="shared" si="2"/>
        <v>0</v>
      </c>
      <c r="L39" s="62"/>
      <c r="M39" s="62"/>
      <c r="N39" s="129">
        <f t="shared" si="11"/>
        <v>0</v>
      </c>
      <c r="O39" s="130"/>
      <c r="P39" s="72">
        <f t="shared" si="6"/>
        <v>0</v>
      </c>
      <c r="Q39" s="72"/>
      <c r="R39" s="72">
        <f t="shared" si="7"/>
        <v>0</v>
      </c>
      <c r="S39" s="72"/>
      <c r="T39" s="72"/>
      <c r="U39" s="72">
        <f t="shared" si="8"/>
        <v>0</v>
      </c>
      <c r="V39" s="72"/>
      <c r="W39" s="72">
        <f t="shared" si="9"/>
        <v>0</v>
      </c>
      <c r="X39" s="72"/>
      <c r="Y39" s="9"/>
      <c r="Z39" s="9"/>
      <c r="AA39" s="9"/>
    </row>
    <row r="40" spans="1:27" ht="32.25" thickBot="1">
      <c r="A40" s="131" t="s">
        <v>57</v>
      </c>
      <c r="B40" s="132" t="s">
        <v>58</v>
      </c>
      <c r="C40" s="523" t="s">
        <v>24</v>
      </c>
      <c r="D40" s="903">
        <f t="shared" si="1"/>
        <v>0</v>
      </c>
      <c r="E40" s="909"/>
      <c r="F40" s="950"/>
      <c r="G40" s="951"/>
      <c r="H40" s="926">
        <f t="shared" si="3"/>
        <v>0</v>
      </c>
      <c r="I40" s="62"/>
      <c r="J40" s="62"/>
      <c r="K40" s="903">
        <f t="shared" si="2"/>
        <v>0</v>
      </c>
      <c r="L40" s="62"/>
      <c r="M40" s="62"/>
      <c r="N40" s="136">
        <f t="shared" si="11"/>
        <v>0</v>
      </c>
      <c r="O40" s="137"/>
      <c r="P40" s="123">
        <f t="shared" si="6"/>
        <v>0</v>
      </c>
      <c r="Q40" s="138"/>
      <c r="R40" s="123">
        <f t="shared" si="7"/>
        <v>0</v>
      </c>
      <c r="S40" s="138"/>
      <c r="T40" s="138"/>
      <c r="U40" s="123">
        <f t="shared" si="8"/>
        <v>0</v>
      </c>
      <c r="V40" s="138"/>
      <c r="W40" s="123"/>
      <c r="X40" s="138"/>
      <c r="Y40" s="9"/>
      <c r="Z40" s="9"/>
      <c r="AA40" s="9"/>
    </row>
    <row r="41" spans="1:27" ht="16.5" thickBot="1">
      <c r="A41" s="139"/>
      <c r="B41" s="2"/>
      <c r="C41" s="93" t="s">
        <v>21</v>
      </c>
      <c r="D41" s="903">
        <f t="shared" si="1"/>
        <v>0</v>
      </c>
      <c r="E41" s="910"/>
      <c r="F41" s="952"/>
      <c r="G41" s="953"/>
      <c r="H41" s="926">
        <f t="shared" si="3"/>
        <v>0</v>
      </c>
      <c r="I41" s="62"/>
      <c r="J41" s="62"/>
      <c r="K41" s="903">
        <f t="shared" si="2"/>
        <v>0</v>
      </c>
      <c r="L41" s="62"/>
      <c r="M41" s="62"/>
      <c r="N41" s="143">
        <f t="shared" si="11"/>
        <v>0</v>
      </c>
      <c r="O41" s="116"/>
      <c r="P41" s="121">
        <f t="shared" si="6"/>
        <v>0</v>
      </c>
      <c r="Q41" s="125"/>
      <c r="R41" s="121">
        <f t="shared" si="7"/>
        <v>0</v>
      </c>
      <c r="S41" s="144"/>
      <c r="T41" s="144"/>
      <c r="U41" s="121">
        <f t="shared" si="8"/>
        <v>0</v>
      </c>
      <c r="V41" s="144"/>
      <c r="W41" s="121"/>
      <c r="X41" s="144"/>
      <c r="Y41" s="9"/>
      <c r="Z41" s="9"/>
      <c r="AA41" s="9"/>
    </row>
    <row r="42" spans="1:27" ht="35.25" customHeight="1" thickBot="1">
      <c r="A42" s="145"/>
      <c r="B42" s="132" t="s">
        <v>59</v>
      </c>
      <c r="C42" s="523" t="s">
        <v>24</v>
      </c>
      <c r="D42" s="903">
        <f t="shared" si="1"/>
        <v>4.7999999999999996E-3</v>
      </c>
      <c r="E42" s="909"/>
      <c r="F42" s="950"/>
      <c r="G42" s="951"/>
      <c r="H42" s="926">
        <f t="shared" si="3"/>
        <v>0</v>
      </c>
      <c r="I42" s="62"/>
      <c r="J42" s="62"/>
      <c r="K42" s="903">
        <f t="shared" si="2"/>
        <v>4.7999999999999996E-3</v>
      </c>
      <c r="L42" s="62">
        <f>0.0024+0.0024</f>
        <v>4.7999999999999996E-3</v>
      </c>
      <c r="M42" s="62"/>
      <c r="N42" s="146">
        <f t="shared" si="11"/>
        <v>0</v>
      </c>
      <c r="O42" s="68"/>
      <c r="P42" s="146">
        <f t="shared" si="6"/>
        <v>0</v>
      </c>
      <c r="Q42" s="65"/>
      <c r="R42" s="136">
        <f t="shared" si="7"/>
        <v>0</v>
      </c>
      <c r="S42" s="138"/>
      <c r="T42" s="138"/>
      <c r="U42" s="123">
        <f t="shared" si="8"/>
        <v>0</v>
      </c>
      <c r="V42" s="138"/>
      <c r="W42" s="123"/>
      <c r="X42" s="138"/>
      <c r="Y42" s="9"/>
      <c r="Z42" s="9"/>
      <c r="AA42" s="9"/>
    </row>
    <row r="43" spans="1:27" ht="21" customHeight="1" thickBot="1">
      <c r="A43" s="147"/>
      <c r="B43" s="2"/>
      <c r="C43" s="93" t="s">
        <v>21</v>
      </c>
      <c r="D43" s="903">
        <f t="shared" si="1"/>
        <v>10.635</v>
      </c>
      <c r="E43" s="910"/>
      <c r="F43" s="952"/>
      <c r="G43" s="953"/>
      <c r="H43" s="926">
        <f t="shared" si="3"/>
        <v>0</v>
      </c>
      <c r="I43" s="62"/>
      <c r="J43" s="62"/>
      <c r="K43" s="903">
        <f>L43+M43</f>
        <v>10.635</v>
      </c>
      <c r="L43" s="62">
        <f>4.254+6.381</f>
        <v>10.635</v>
      </c>
      <c r="M43" s="62"/>
      <c r="N43" s="148">
        <f t="shared" si="11"/>
        <v>0</v>
      </c>
      <c r="O43" s="68"/>
      <c r="P43" s="148">
        <f t="shared" si="6"/>
        <v>0</v>
      </c>
      <c r="Q43" s="65"/>
      <c r="R43" s="143">
        <f t="shared" si="7"/>
        <v>0</v>
      </c>
      <c r="S43" s="144"/>
      <c r="T43" s="144"/>
      <c r="U43" s="121">
        <f t="shared" si="8"/>
        <v>0</v>
      </c>
      <c r="V43" s="144"/>
      <c r="W43" s="121"/>
      <c r="X43" s="144"/>
      <c r="Y43" s="9"/>
      <c r="Z43" s="9"/>
      <c r="AA43" s="9"/>
    </row>
    <row r="44" spans="1:27" ht="16.5" thickBot="1">
      <c r="A44" s="113">
        <v>7</v>
      </c>
      <c r="B44" s="114" t="s">
        <v>60</v>
      </c>
      <c r="C44" s="523" t="s">
        <v>47</v>
      </c>
      <c r="D44" s="903">
        <f t="shared" si="1"/>
        <v>28</v>
      </c>
      <c r="E44" s="906">
        <f t="shared" ref="E44:E59" si="12">F44+G44</f>
        <v>0</v>
      </c>
      <c r="F44" s="930"/>
      <c r="G44" s="946"/>
      <c r="H44" s="926">
        <f t="shared" si="3"/>
        <v>28</v>
      </c>
      <c r="I44" s="611">
        <f>7+2+6+4+2+2+1+4</f>
        <v>28</v>
      </c>
      <c r="J44" s="62"/>
      <c r="K44" s="903">
        <f t="shared" si="2"/>
        <v>0</v>
      </c>
      <c r="L44" s="62"/>
      <c r="M44" s="62"/>
      <c r="N44" s="59">
        <f t="shared" si="11"/>
        <v>0</v>
      </c>
      <c r="O44" s="116"/>
      <c r="P44" s="57">
        <f t="shared" si="6"/>
        <v>0</v>
      </c>
      <c r="Q44" s="53"/>
      <c r="R44" s="57">
        <f t="shared" si="7"/>
        <v>0</v>
      </c>
      <c r="S44" s="123"/>
      <c r="T44" s="123"/>
      <c r="U44" s="57">
        <f t="shared" si="8"/>
        <v>0</v>
      </c>
      <c r="V44" s="123"/>
      <c r="W44" s="57">
        <f t="shared" ref="W44:W71" si="13">X44</f>
        <v>0</v>
      </c>
      <c r="X44" s="123"/>
      <c r="Y44" s="9"/>
      <c r="Z44" s="9"/>
      <c r="AA44" s="9"/>
    </row>
    <row r="45" spans="1:27" ht="16.5" thickBot="1">
      <c r="A45" s="149"/>
      <c r="B45" s="2" t="s">
        <v>61</v>
      </c>
      <c r="C45" s="524" t="s">
        <v>21</v>
      </c>
      <c r="D45" s="903">
        <f t="shared" si="1"/>
        <v>17.948999999999998</v>
      </c>
      <c r="E45" s="906">
        <f t="shared" si="12"/>
        <v>0</v>
      </c>
      <c r="F45" s="930"/>
      <c r="G45" s="946"/>
      <c r="H45" s="926">
        <f t="shared" si="3"/>
        <v>17.948999999999998</v>
      </c>
      <c r="I45" s="62">
        <f>4.13+2.235+3.481+2.723+2.321+0.587+2.472</f>
        <v>17.948999999999998</v>
      </c>
      <c r="J45" s="62"/>
      <c r="K45" s="903">
        <f t="shared" si="2"/>
        <v>0</v>
      </c>
      <c r="L45" s="62"/>
      <c r="M45" s="62"/>
      <c r="N45" s="59">
        <f t="shared" si="11"/>
        <v>0</v>
      </c>
      <c r="O45" s="120"/>
      <c r="P45" s="57">
        <f t="shared" si="6"/>
        <v>0</v>
      </c>
      <c r="Q45" s="121"/>
      <c r="R45" s="57">
        <f t="shared" si="7"/>
        <v>0</v>
      </c>
      <c r="S45" s="121"/>
      <c r="T45" s="121"/>
      <c r="U45" s="57">
        <f t="shared" si="8"/>
        <v>0</v>
      </c>
      <c r="V45" s="121"/>
      <c r="W45" s="57">
        <f t="shared" si="13"/>
        <v>0</v>
      </c>
      <c r="X45" s="121"/>
      <c r="Y45" s="9"/>
      <c r="Z45" s="9"/>
      <c r="AA45" s="9"/>
    </row>
    <row r="46" spans="1:27" ht="16.5" thickBot="1">
      <c r="A46" s="111">
        <v>8</v>
      </c>
      <c r="B46" s="1" t="s">
        <v>62</v>
      </c>
      <c r="C46" s="518" t="s">
        <v>47</v>
      </c>
      <c r="D46" s="903">
        <f t="shared" si="1"/>
        <v>0</v>
      </c>
      <c r="E46" s="906">
        <f t="shared" si="12"/>
        <v>0</v>
      </c>
      <c r="F46" s="930"/>
      <c r="G46" s="946"/>
      <c r="H46" s="926">
        <f t="shared" si="3"/>
        <v>0</v>
      </c>
      <c r="I46" s="62"/>
      <c r="J46" s="62"/>
      <c r="K46" s="903">
        <f t="shared" si="2"/>
        <v>0</v>
      </c>
      <c r="L46" s="62"/>
      <c r="M46" s="62"/>
      <c r="N46" s="59">
        <f t="shared" si="11"/>
        <v>0</v>
      </c>
      <c r="O46" s="116"/>
      <c r="P46" s="57">
        <f t="shared" si="6"/>
        <v>0</v>
      </c>
      <c r="Q46" s="123"/>
      <c r="R46" s="57">
        <f t="shared" si="7"/>
        <v>0</v>
      </c>
      <c r="S46" s="123"/>
      <c r="T46" s="123"/>
      <c r="U46" s="57">
        <f t="shared" si="8"/>
        <v>0</v>
      </c>
      <c r="V46" s="123"/>
      <c r="W46" s="57">
        <f t="shared" si="13"/>
        <v>0</v>
      </c>
      <c r="X46" s="123"/>
      <c r="Y46" s="9"/>
      <c r="Z46" s="9"/>
      <c r="AA46" s="9"/>
    </row>
    <row r="47" spans="1:27" ht="16.5" thickBot="1">
      <c r="A47" s="150"/>
      <c r="B47" s="151" t="s">
        <v>63</v>
      </c>
      <c r="C47" s="520" t="s">
        <v>21</v>
      </c>
      <c r="D47" s="903">
        <f t="shared" si="1"/>
        <v>0</v>
      </c>
      <c r="E47" s="906">
        <f t="shared" si="12"/>
        <v>0</v>
      </c>
      <c r="F47" s="930"/>
      <c r="G47" s="946"/>
      <c r="H47" s="926">
        <f t="shared" si="3"/>
        <v>0</v>
      </c>
      <c r="I47" s="62"/>
      <c r="J47" s="62"/>
      <c r="K47" s="903">
        <f t="shared" si="2"/>
        <v>0</v>
      </c>
      <c r="L47" s="62"/>
      <c r="M47" s="62"/>
      <c r="N47" s="59">
        <f t="shared" si="11"/>
        <v>0</v>
      </c>
      <c r="O47" s="130"/>
      <c r="P47" s="57">
        <f t="shared" si="6"/>
        <v>0</v>
      </c>
      <c r="Q47" s="121"/>
      <c r="R47" s="57">
        <f t="shared" si="7"/>
        <v>0</v>
      </c>
      <c r="S47" s="121"/>
      <c r="T47" s="121"/>
      <c r="U47" s="57">
        <f t="shared" si="8"/>
        <v>0</v>
      </c>
      <c r="V47" s="121"/>
      <c r="W47" s="57">
        <f t="shared" si="13"/>
        <v>0</v>
      </c>
      <c r="X47" s="121"/>
      <c r="Y47" s="9"/>
      <c r="Z47" s="9"/>
      <c r="AA47" s="9"/>
    </row>
    <row r="48" spans="1:27" ht="16.5" thickBot="1">
      <c r="A48" s="113">
        <v>9</v>
      </c>
      <c r="B48" s="114" t="s">
        <v>64</v>
      </c>
      <c r="C48" s="523" t="s">
        <v>51</v>
      </c>
      <c r="D48" s="903">
        <f t="shared" si="1"/>
        <v>4.0000000000000001E-3</v>
      </c>
      <c r="E48" s="906">
        <f t="shared" si="12"/>
        <v>0</v>
      </c>
      <c r="F48" s="930"/>
      <c r="G48" s="946"/>
      <c r="H48" s="926">
        <f t="shared" si="3"/>
        <v>4.0000000000000001E-3</v>
      </c>
      <c r="I48" s="62">
        <f>0.004</f>
        <v>4.0000000000000001E-3</v>
      </c>
      <c r="J48" s="62"/>
      <c r="K48" s="903">
        <f t="shared" si="2"/>
        <v>0</v>
      </c>
      <c r="L48" s="62"/>
      <c r="M48" s="62"/>
      <c r="N48" s="59">
        <f t="shared" si="11"/>
        <v>0</v>
      </c>
      <c r="O48" s="137"/>
      <c r="P48" s="57">
        <f t="shared" si="6"/>
        <v>0</v>
      </c>
      <c r="Q48" s="123"/>
      <c r="R48" s="57">
        <f t="shared" si="7"/>
        <v>0</v>
      </c>
      <c r="S48" s="123"/>
      <c r="T48" s="123"/>
      <c r="U48" s="57">
        <f t="shared" si="8"/>
        <v>0</v>
      </c>
      <c r="V48" s="123"/>
      <c r="W48" s="57">
        <f t="shared" si="13"/>
        <v>0</v>
      </c>
      <c r="X48" s="123"/>
      <c r="Y48" s="9"/>
      <c r="Z48" s="9"/>
      <c r="AA48" s="9"/>
    </row>
    <row r="49" spans="1:27" ht="16.5" thickBot="1">
      <c r="A49" s="150"/>
      <c r="B49" s="70"/>
      <c r="C49" s="520" t="s">
        <v>21</v>
      </c>
      <c r="D49" s="903">
        <f t="shared" si="1"/>
        <v>6.4939999999999998</v>
      </c>
      <c r="E49" s="906">
        <f t="shared" si="12"/>
        <v>0</v>
      </c>
      <c r="F49" s="930"/>
      <c r="G49" s="946"/>
      <c r="H49" s="926">
        <f t="shared" si="3"/>
        <v>6.4939999999999998</v>
      </c>
      <c r="I49" s="62">
        <f>6.494</f>
        <v>6.4939999999999998</v>
      </c>
      <c r="J49" s="62"/>
      <c r="K49" s="903">
        <f t="shared" si="2"/>
        <v>0</v>
      </c>
      <c r="L49" s="62"/>
      <c r="M49" s="62"/>
      <c r="N49" s="59">
        <f t="shared" si="11"/>
        <v>0</v>
      </c>
      <c r="O49" s="130"/>
      <c r="P49" s="57">
        <f t="shared" si="6"/>
        <v>0</v>
      </c>
      <c r="Q49" s="121"/>
      <c r="R49" s="57">
        <f t="shared" si="7"/>
        <v>0</v>
      </c>
      <c r="S49" s="121"/>
      <c r="T49" s="121"/>
      <c r="U49" s="57">
        <f t="shared" si="8"/>
        <v>0</v>
      </c>
      <c r="V49" s="121"/>
      <c r="W49" s="57">
        <f t="shared" si="13"/>
        <v>0</v>
      </c>
      <c r="X49" s="121"/>
      <c r="Y49" s="9"/>
      <c r="Z49" s="9"/>
      <c r="AA49" s="9"/>
    </row>
    <row r="50" spans="1:27" ht="16.5" thickBot="1">
      <c r="A50" s="113">
        <v>10</v>
      </c>
      <c r="B50" s="114" t="s">
        <v>65</v>
      </c>
      <c r="C50" s="523" t="s">
        <v>47</v>
      </c>
      <c r="D50" s="903">
        <f t="shared" si="1"/>
        <v>33</v>
      </c>
      <c r="E50" s="906">
        <f t="shared" si="12"/>
        <v>0</v>
      </c>
      <c r="F50" s="930"/>
      <c r="G50" s="946"/>
      <c r="H50" s="926">
        <f t="shared" si="3"/>
        <v>33</v>
      </c>
      <c r="I50" s="612">
        <f>18+1+1+2+2+3+2+1+1+2</f>
        <v>33</v>
      </c>
      <c r="J50" s="62"/>
      <c r="K50" s="903">
        <f t="shared" si="2"/>
        <v>0</v>
      </c>
      <c r="L50" s="62"/>
      <c r="M50" s="62"/>
      <c r="N50" s="59">
        <f t="shared" si="11"/>
        <v>0</v>
      </c>
      <c r="O50" s="137"/>
      <c r="P50" s="57">
        <f t="shared" si="6"/>
        <v>0</v>
      </c>
      <c r="Q50" s="123"/>
      <c r="R50" s="57">
        <f t="shared" si="7"/>
        <v>0</v>
      </c>
      <c r="S50" s="123"/>
      <c r="T50" s="123"/>
      <c r="U50" s="57">
        <f t="shared" si="8"/>
        <v>0</v>
      </c>
      <c r="V50" s="123"/>
      <c r="W50" s="57">
        <f t="shared" si="13"/>
        <v>0</v>
      </c>
      <c r="X50" s="123"/>
      <c r="Y50" s="9"/>
      <c r="Z50" s="9"/>
      <c r="AA50" s="9"/>
    </row>
    <row r="51" spans="1:27" ht="16.5" thickBot="1">
      <c r="A51" s="152"/>
      <c r="B51" s="2" t="s">
        <v>66</v>
      </c>
      <c r="C51" s="524" t="s">
        <v>21</v>
      </c>
      <c r="D51" s="903">
        <f t="shared" si="1"/>
        <v>41.158000000000001</v>
      </c>
      <c r="E51" s="906">
        <f t="shared" si="12"/>
        <v>0</v>
      </c>
      <c r="F51" s="930"/>
      <c r="G51" s="946"/>
      <c r="H51" s="926">
        <f t="shared" si="3"/>
        <v>41.158000000000001</v>
      </c>
      <c r="I51" s="62">
        <f>5.345+0.701+0.304+0.917+8.897+13.347+9.2+0.765+0.765+0.917</f>
        <v>41.158000000000001</v>
      </c>
      <c r="J51" s="62"/>
      <c r="K51" s="903">
        <f t="shared" si="2"/>
        <v>0</v>
      </c>
      <c r="L51" s="62"/>
      <c r="M51" s="62"/>
      <c r="N51" s="59">
        <f t="shared" si="11"/>
        <v>0</v>
      </c>
      <c r="O51" s="120"/>
      <c r="P51" s="57">
        <f t="shared" si="6"/>
        <v>0</v>
      </c>
      <c r="Q51" s="121"/>
      <c r="R51" s="57">
        <f t="shared" si="7"/>
        <v>0</v>
      </c>
      <c r="S51" s="121"/>
      <c r="T51" s="121"/>
      <c r="U51" s="57">
        <f t="shared" si="8"/>
        <v>0</v>
      </c>
      <c r="V51" s="121"/>
      <c r="W51" s="57">
        <f t="shared" si="13"/>
        <v>0</v>
      </c>
      <c r="X51" s="121"/>
      <c r="Y51" s="9"/>
      <c r="Z51" s="9"/>
      <c r="AA51" s="9"/>
    </row>
    <row r="52" spans="1:27" ht="16.5" thickBot="1">
      <c r="A52" s="113">
        <v>11</v>
      </c>
      <c r="B52" s="114" t="s">
        <v>67</v>
      </c>
      <c r="C52" s="523" t="s">
        <v>47</v>
      </c>
      <c r="D52" s="903">
        <f t="shared" si="1"/>
        <v>8</v>
      </c>
      <c r="E52" s="906">
        <f t="shared" si="12"/>
        <v>0</v>
      </c>
      <c r="F52" s="930"/>
      <c r="G52" s="946"/>
      <c r="H52" s="926">
        <f t="shared" si="3"/>
        <v>8</v>
      </c>
      <c r="I52" s="612">
        <f>1+1+6</f>
        <v>8</v>
      </c>
      <c r="J52" s="62"/>
      <c r="K52" s="903">
        <f t="shared" si="2"/>
        <v>0</v>
      </c>
      <c r="L52" s="62"/>
      <c r="M52" s="62"/>
      <c r="N52" s="59">
        <f t="shared" si="11"/>
        <v>0</v>
      </c>
      <c r="O52" s="137"/>
      <c r="P52" s="57">
        <f t="shared" si="6"/>
        <v>0</v>
      </c>
      <c r="Q52" s="123"/>
      <c r="R52" s="57">
        <f t="shared" si="7"/>
        <v>0</v>
      </c>
      <c r="S52" s="123"/>
      <c r="T52" s="123"/>
      <c r="U52" s="57">
        <f t="shared" si="8"/>
        <v>0</v>
      </c>
      <c r="V52" s="123"/>
      <c r="W52" s="57">
        <f t="shared" si="13"/>
        <v>0</v>
      </c>
      <c r="X52" s="123"/>
      <c r="Y52" s="9"/>
      <c r="Z52" s="9"/>
      <c r="AA52" s="9"/>
    </row>
    <row r="53" spans="1:27" ht="20.25" customHeight="1" thickBot="1">
      <c r="A53" s="152"/>
      <c r="B53" s="118"/>
      <c r="C53" s="524" t="s">
        <v>21</v>
      </c>
      <c r="D53" s="903">
        <f t="shared" si="1"/>
        <v>58.329000000000001</v>
      </c>
      <c r="E53" s="906">
        <f t="shared" si="12"/>
        <v>0</v>
      </c>
      <c r="F53" s="930"/>
      <c r="G53" s="946"/>
      <c r="H53" s="926">
        <f t="shared" si="3"/>
        <v>58.329000000000001</v>
      </c>
      <c r="I53" s="62">
        <f>1.785+0.861+0.989+54.694</f>
        <v>58.329000000000001</v>
      </c>
      <c r="J53" s="62"/>
      <c r="K53" s="903">
        <f t="shared" si="2"/>
        <v>0</v>
      </c>
      <c r="L53" s="62"/>
      <c r="M53" s="62"/>
      <c r="N53" s="59">
        <f t="shared" si="11"/>
        <v>0</v>
      </c>
      <c r="O53" s="120"/>
      <c r="P53" s="57">
        <f t="shared" si="6"/>
        <v>0</v>
      </c>
      <c r="Q53" s="121"/>
      <c r="R53" s="57">
        <f t="shared" si="7"/>
        <v>0</v>
      </c>
      <c r="S53" s="121"/>
      <c r="T53" s="121"/>
      <c r="U53" s="57">
        <f t="shared" si="8"/>
        <v>0</v>
      </c>
      <c r="V53" s="121"/>
      <c r="W53" s="57">
        <f t="shared" si="13"/>
        <v>0</v>
      </c>
      <c r="X53" s="121"/>
      <c r="Y53" s="9"/>
      <c r="Z53" s="9"/>
      <c r="AA53" s="9"/>
    </row>
    <row r="54" spans="1:27" ht="16.5" thickBot="1">
      <c r="A54" s="113">
        <v>12</v>
      </c>
      <c r="B54" s="114" t="s">
        <v>68</v>
      </c>
      <c r="C54" s="523" t="s">
        <v>47</v>
      </c>
      <c r="D54" s="903">
        <f t="shared" si="1"/>
        <v>2</v>
      </c>
      <c r="E54" s="906">
        <f t="shared" si="12"/>
        <v>0</v>
      </c>
      <c r="F54" s="930"/>
      <c r="G54" s="946"/>
      <c r="H54" s="926">
        <f t="shared" si="3"/>
        <v>2</v>
      </c>
      <c r="I54" s="62">
        <f>2</f>
        <v>2</v>
      </c>
      <c r="J54" s="62"/>
      <c r="K54" s="903">
        <f t="shared" si="2"/>
        <v>0</v>
      </c>
      <c r="L54" s="62"/>
      <c r="M54" s="62"/>
      <c r="N54" s="59">
        <f t="shared" si="11"/>
        <v>0</v>
      </c>
      <c r="O54" s="137"/>
      <c r="P54" s="57">
        <f t="shared" si="6"/>
        <v>0</v>
      </c>
      <c r="Q54" s="123"/>
      <c r="R54" s="57">
        <f t="shared" si="7"/>
        <v>0</v>
      </c>
      <c r="S54" s="123"/>
      <c r="T54" s="123"/>
      <c r="U54" s="57">
        <f t="shared" si="8"/>
        <v>0</v>
      </c>
      <c r="V54" s="123"/>
      <c r="W54" s="57">
        <f t="shared" si="13"/>
        <v>0</v>
      </c>
      <c r="X54" s="123"/>
      <c r="Y54" s="9"/>
      <c r="Z54" s="9"/>
      <c r="AA54" s="9"/>
    </row>
    <row r="55" spans="1:27" ht="16.5" thickBot="1">
      <c r="A55" s="152"/>
      <c r="B55" s="2" t="s">
        <v>69</v>
      </c>
      <c r="C55" s="524" t="s">
        <v>21</v>
      </c>
      <c r="D55" s="903">
        <f t="shared" si="1"/>
        <v>2.2040000000000002</v>
      </c>
      <c r="E55" s="906">
        <f t="shared" si="12"/>
        <v>0</v>
      </c>
      <c r="F55" s="930"/>
      <c r="G55" s="946"/>
      <c r="H55" s="926">
        <f t="shared" si="3"/>
        <v>2.2040000000000002</v>
      </c>
      <c r="I55" s="62">
        <f>2.204</f>
        <v>2.2040000000000002</v>
      </c>
      <c r="J55" s="62"/>
      <c r="K55" s="903">
        <f t="shared" si="2"/>
        <v>0</v>
      </c>
      <c r="L55" s="62"/>
      <c r="M55" s="62"/>
      <c r="N55" s="59">
        <f t="shared" si="11"/>
        <v>0</v>
      </c>
      <c r="O55" s="120"/>
      <c r="P55" s="57">
        <f t="shared" si="6"/>
        <v>0</v>
      </c>
      <c r="Q55" s="121"/>
      <c r="R55" s="57">
        <f t="shared" si="7"/>
        <v>0</v>
      </c>
      <c r="S55" s="121"/>
      <c r="T55" s="121"/>
      <c r="U55" s="57">
        <f t="shared" si="8"/>
        <v>0</v>
      </c>
      <c r="V55" s="121"/>
      <c r="W55" s="57">
        <f t="shared" si="13"/>
        <v>0</v>
      </c>
      <c r="X55" s="121"/>
      <c r="Y55" s="9"/>
      <c r="Z55" s="9"/>
      <c r="AA55" s="9"/>
    </row>
    <row r="56" spans="1:27" ht="16.5" thickBot="1">
      <c r="A56" s="113">
        <v>14</v>
      </c>
      <c r="B56" s="114" t="s">
        <v>70</v>
      </c>
      <c r="C56" s="523" t="s">
        <v>24</v>
      </c>
      <c r="D56" s="903">
        <f t="shared" si="1"/>
        <v>0</v>
      </c>
      <c r="E56" s="906">
        <f t="shared" si="12"/>
        <v>0</v>
      </c>
      <c r="F56" s="930"/>
      <c r="G56" s="946"/>
      <c r="H56" s="926">
        <f t="shared" si="3"/>
        <v>0</v>
      </c>
      <c r="I56" s="62"/>
      <c r="J56" s="62"/>
      <c r="K56" s="903">
        <f t="shared" si="2"/>
        <v>0</v>
      </c>
      <c r="L56" s="62"/>
      <c r="M56" s="62"/>
      <c r="N56" s="59">
        <f t="shared" si="11"/>
        <v>0</v>
      </c>
      <c r="O56" s="122"/>
      <c r="P56" s="57">
        <f t="shared" si="6"/>
        <v>0</v>
      </c>
      <c r="Q56" s="123"/>
      <c r="R56" s="57">
        <f t="shared" si="7"/>
        <v>0</v>
      </c>
      <c r="S56" s="123"/>
      <c r="T56" s="123"/>
      <c r="U56" s="57">
        <f t="shared" si="8"/>
        <v>0</v>
      </c>
      <c r="V56" s="123"/>
      <c r="W56" s="57">
        <f t="shared" si="13"/>
        <v>0</v>
      </c>
      <c r="X56" s="123"/>
      <c r="Y56" s="9"/>
      <c r="Z56" s="9"/>
      <c r="AA56" s="9"/>
    </row>
    <row r="57" spans="1:27" ht="16.5" thickBot="1">
      <c r="A57" s="150"/>
      <c r="B57" s="151" t="s">
        <v>71</v>
      </c>
      <c r="C57" s="520" t="s">
        <v>21</v>
      </c>
      <c r="D57" s="903">
        <f t="shared" si="1"/>
        <v>0</v>
      </c>
      <c r="E57" s="906">
        <f t="shared" si="12"/>
        <v>0</v>
      </c>
      <c r="F57" s="930"/>
      <c r="G57" s="946"/>
      <c r="H57" s="926">
        <f t="shared" si="3"/>
        <v>0</v>
      </c>
      <c r="I57" s="62"/>
      <c r="J57" s="62"/>
      <c r="K57" s="903">
        <f t="shared" si="2"/>
        <v>0</v>
      </c>
      <c r="L57" s="62"/>
      <c r="M57" s="62"/>
      <c r="N57" s="59">
        <f t="shared" si="11"/>
        <v>0</v>
      </c>
      <c r="O57" s="130"/>
      <c r="P57" s="57">
        <f t="shared" si="6"/>
        <v>0</v>
      </c>
      <c r="Q57" s="72"/>
      <c r="R57" s="57">
        <f t="shared" si="7"/>
        <v>0</v>
      </c>
      <c r="S57" s="72"/>
      <c r="T57" s="72"/>
      <c r="U57" s="57">
        <f t="shared" si="8"/>
        <v>0</v>
      </c>
      <c r="V57" s="72"/>
      <c r="W57" s="57">
        <f t="shared" si="13"/>
        <v>0</v>
      </c>
      <c r="X57" s="72"/>
      <c r="Y57" s="9"/>
      <c r="Z57" s="9"/>
      <c r="AA57" s="9"/>
    </row>
    <row r="58" spans="1:27" ht="16.5" thickBot="1">
      <c r="A58" s="153">
        <v>15</v>
      </c>
      <c r="B58" s="3" t="s">
        <v>72</v>
      </c>
      <c r="C58" s="523" t="s">
        <v>47</v>
      </c>
      <c r="D58" s="903">
        <f t="shared" si="1"/>
        <v>0</v>
      </c>
      <c r="E58" s="906">
        <f t="shared" si="12"/>
        <v>0</v>
      </c>
      <c r="F58" s="930"/>
      <c r="G58" s="946"/>
      <c r="H58" s="926">
        <f t="shared" si="3"/>
        <v>0</v>
      </c>
      <c r="I58" s="62"/>
      <c r="J58" s="62"/>
      <c r="K58" s="903">
        <f t="shared" si="2"/>
        <v>0</v>
      </c>
      <c r="L58" s="62"/>
      <c r="M58" s="62"/>
      <c r="N58" s="59">
        <f t="shared" si="11"/>
        <v>0</v>
      </c>
      <c r="O58" s="122"/>
      <c r="P58" s="57">
        <f t="shared" si="6"/>
        <v>0</v>
      </c>
      <c r="Q58" s="123"/>
      <c r="R58" s="57">
        <f t="shared" si="7"/>
        <v>0</v>
      </c>
      <c r="S58" s="123"/>
      <c r="T58" s="123"/>
      <c r="U58" s="57">
        <f t="shared" si="8"/>
        <v>0</v>
      </c>
      <c r="V58" s="123"/>
      <c r="W58" s="57">
        <f t="shared" si="13"/>
        <v>0</v>
      </c>
      <c r="X58" s="123"/>
    </row>
    <row r="59" spans="1:27" ht="16.5" thickBot="1">
      <c r="A59" s="154"/>
      <c r="B59" s="155" t="s">
        <v>73</v>
      </c>
      <c r="C59" s="520" t="s">
        <v>21</v>
      </c>
      <c r="D59" s="903">
        <f t="shared" si="1"/>
        <v>0</v>
      </c>
      <c r="E59" s="907">
        <f t="shared" si="12"/>
        <v>0</v>
      </c>
      <c r="F59" s="947"/>
      <c r="G59" s="948"/>
      <c r="H59" s="926">
        <f t="shared" si="3"/>
        <v>0</v>
      </c>
      <c r="I59" s="62"/>
      <c r="J59" s="62"/>
      <c r="K59" s="903">
        <f t="shared" si="2"/>
        <v>0</v>
      </c>
      <c r="L59" s="62"/>
      <c r="M59" s="62"/>
      <c r="N59" s="129">
        <f t="shared" si="11"/>
        <v>0</v>
      </c>
      <c r="O59" s="130"/>
      <c r="P59" s="72">
        <f t="shared" si="6"/>
        <v>0</v>
      </c>
      <c r="Q59" s="72"/>
      <c r="R59" s="72">
        <f t="shared" si="7"/>
        <v>0</v>
      </c>
      <c r="S59" s="72"/>
      <c r="T59" s="72"/>
      <c r="U59" s="72">
        <f t="shared" si="8"/>
        <v>0</v>
      </c>
      <c r="V59" s="72"/>
      <c r="W59" s="72">
        <f t="shared" si="13"/>
        <v>0</v>
      </c>
      <c r="X59" s="72"/>
    </row>
    <row r="60" spans="1:27" ht="16.5" thickBot="1">
      <c r="A60" s="156">
        <v>16</v>
      </c>
      <c r="B60" s="157" t="s">
        <v>74</v>
      </c>
      <c r="C60" s="523" t="s">
        <v>47</v>
      </c>
      <c r="D60" s="903">
        <f t="shared" si="1"/>
        <v>0</v>
      </c>
      <c r="E60" s="911"/>
      <c r="F60" s="954"/>
      <c r="G60" s="955"/>
      <c r="H60" s="926">
        <f t="shared" si="3"/>
        <v>0</v>
      </c>
      <c r="I60" s="62"/>
      <c r="J60" s="62"/>
      <c r="K60" s="903">
        <f t="shared" si="2"/>
        <v>0</v>
      </c>
      <c r="L60" s="62"/>
      <c r="M60" s="62"/>
      <c r="N60" s="161">
        <f t="shared" si="11"/>
        <v>0</v>
      </c>
      <c r="O60" s="162"/>
      <c r="P60" s="138">
        <f t="shared" si="6"/>
        <v>0</v>
      </c>
      <c r="Q60" s="158"/>
      <c r="R60" s="138">
        <f t="shared" si="7"/>
        <v>0</v>
      </c>
      <c r="S60" s="158"/>
      <c r="T60" s="158"/>
      <c r="U60" s="138">
        <f t="shared" si="8"/>
        <v>0</v>
      </c>
      <c r="V60" s="158"/>
      <c r="W60" s="138">
        <f t="shared" si="13"/>
        <v>0</v>
      </c>
      <c r="X60" s="163"/>
    </row>
    <row r="61" spans="1:27" ht="16.5" thickBot="1">
      <c r="A61" s="164"/>
      <c r="B61" s="165"/>
      <c r="C61" s="524" t="s">
        <v>21</v>
      </c>
      <c r="D61" s="903">
        <f t="shared" si="1"/>
        <v>0</v>
      </c>
      <c r="E61" s="912"/>
      <c r="F61" s="956"/>
      <c r="G61" s="957"/>
      <c r="H61" s="926">
        <f t="shared" si="3"/>
        <v>0</v>
      </c>
      <c r="I61" s="62"/>
      <c r="J61" s="62"/>
      <c r="K61" s="903">
        <f t="shared" si="2"/>
        <v>0</v>
      </c>
      <c r="L61" s="62"/>
      <c r="M61" s="62"/>
      <c r="N61" s="143">
        <f t="shared" si="11"/>
        <v>0</v>
      </c>
      <c r="O61" s="169"/>
      <c r="P61" s="121">
        <f t="shared" si="6"/>
        <v>0</v>
      </c>
      <c r="Q61" s="166"/>
      <c r="R61" s="121">
        <f t="shared" si="7"/>
        <v>0</v>
      </c>
      <c r="S61" s="166"/>
      <c r="T61" s="166"/>
      <c r="U61" s="121">
        <f t="shared" si="8"/>
        <v>0</v>
      </c>
      <c r="V61" s="166"/>
      <c r="W61" s="121">
        <f t="shared" si="13"/>
        <v>0</v>
      </c>
      <c r="X61" s="170"/>
    </row>
    <row r="62" spans="1:27" ht="40.5" customHeight="1" thickBot="1">
      <c r="A62" s="156">
        <v>17</v>
      </c>
      <c r="B62" s="171" t="s">
        <v>75</v>
      </c>
      <c r="C62" s="523" t="s">
        <v>24</v>
      </c>
      <c r="D62" s="903">
        <f t="shared" si="1"/>
        <v>0</v>
      </c>
      <c r="E62" s="911">
        <v>0</v>
      </c>
      <c r="F62" s="954"/>
      <c r="G62" s="955"/>
      <c r="H62" s="926">
        <f t="shared" si="3"/>
        <v>0</v>
      </c>
      <c r="I62" s="62"/>
      <c r="J62" s="62"/>
      <c r="K62" s="903">
        <f t="shared" si="2"/>
        <v>0</v>
      </c>
      <c r="L62" s="62"/>
      <c r="M62" s="62"/>
      <c r="N62" s="161">
        <f t="shared" si="11"/>
        <v>0</v>
      </c>
      <c r="O62" s="162"/>
      <c r="P62" s="138">
        <f t="shared" si="6"/>
        <v>0</v>
      </c>
      <c r="Q62" s="158"/>
      <c r="R62" s="138">
        <f t="shared" si="7"/>
        <v>0</v>
      </c>
      <c r="S62" s="158"/>
      <c r="T62" s="158"/>
      <c r="U62" s="138">
        <f t="shared" si="8"/>
        <v>0</v>
      </c>
      <c r="V62" s="158"/>
      <c r="W62" s="138">
        <f t="shared" si="13"/>
        <v>0</v>
      </c>
      <c r="X62" s="163"/>
    </row>
    <row r="63" spans="1:27" ht="16.5" thickBot="1">
      <c r="A63" s="164"/>
      <c r="B63" s="172"/>
      <c r="C63" s="524" t="s">
        <v>21</v>
      </c>
      <c r="D63" s="903">
        <f t="shared" si="1"/>
        <v>0</v>
      </c>
      <c r="E63" s="912">
        <v>0</v>
      </c>
      <c r="F63" s="956"/>
      <c r="G63" s="957"/>
      <c r="H63" s="926">
        <f t="shared" si="3"/>
        <v>0</v>
      </c>
      <c r="I63" s="62"/>
      <c r="J63" s="62"/>
      <c r="K63" s="903">
        <f t="shared" si="2"/>
        <v>0</v>
      </c>
      <c r="L63" s="62"/>
      <c r="M63" s="62"/>
      <c r="N63" s="143">
        <f t="shared" si="11"/>
        <v>0</v>
      </c>
      <c r="O63" s="169"/>
      <c r="P63" s="121">
        <f t="shared" si="6"/>
        <v>0</v>
      </c>
      <c r="Q63" s="166"/>
      <c r="R63" s="121">
        <f t="shared" si="7"/>
        <v>0</v>
      </c>
      <c r="S63" s="166"/>
      <c r="T63" s="166"/>
      <c r="U63" s="121">
        <f t="shared" si="8"/>
        <v>0</v>
      </c>
      <c r="V63" s="166"/>
      <c r="W63" s="121">
        <f t="shared" si="13"/>
        <v>0</v>
      </c>
      <c r="X63" s="170"/>
    </row>
    <row r="64" spans="1:27" ht="16.5" thickBot="1">
      <c r="A64" s="156">
        <v>18</v>
      </c>
      <c r="B64" s="157" t="s">
        <v>76</v>
      </c>
      <c r="C64" s="523" t="s">
        <v>47</v>
      </c>
      <c r="D64" s="903">
        <f t="shared" si="1"/>
        <v>1</v>
      </c>
      <c r="E64" s="911"/>
      <c r="F64" s="954"/>
      <c r="G64" s="955"/>
      <c r="H64" s="926">
        <f t="shared" si="3"/>
        <v>1</v>
      </c>
      <c r="I64" s="612">
        <f>1</f>
        <v>1</v>
      </c>
      <c r="J64" s="62"/>
      <c r="K64" s="903">
        <f t="shared" si="2"/>
        <v>0</v>
      </c>
      <c r="L64" s="62"/>
      <c r="M64" s="62"/>
      <c r="N64" s="161">
        <f t="shared" si="11"/>
        <v>0</v>
      </c>
      <c r="O64" s="162"/>
      <c r="P64" s="138">
        <f t="shared" si="6"/>
        <v>0</v>
      </c>
      <c r="Q64" s="158"/>
      <c r="R64" s="138">
        <f t="shared" si="7"/>
        <v>0</v>
      </c>
      <c r="S64" s="158"/>
      <c r="T64" s="158"/>
      <c r="U64" s="138">
        <f t="shared" si="8"/>
        <v>0</v>
      </c>
      <c r="V64" s="158"/>
      <c r="W64" s="138">
        <f t="shared" si="13"/>
        <v>0</v>
      </c>
      <c r="X64" s="163"/>
    </row>
    <row r="65" spans="1:27" ht="16.5" thickBot="1">
      <c r="A65" s="164"/>
      <c r="B65" s="165"/>
      <c r="C65" s="524" t="s">
        <v>21</v>
      </c>
      <c r="D65" s="903">
        <f t="shared" si="1"/>
        <v>13.766999999999999</v>
      </c>
      <c r="E65" s="912"/>
      <c r="F65" s="956"/>
      <c r="G65" s="957"/>
      <c r="H65" s="926">
        <f t="shared" si="3"/>
        <v>13.766999999999999</v>
      </c>
      <c r="I65" s="62">
        <f>13.767</f>
        <v>13.766999999999999</v>
      </c>
      <c r="J65" s="62"/>
      <c r="K65" s="903">
        <f t="shared" si="2"/>
        <v>0</v>
      </c>
      <c r="L65" s="62"/>
      <c r="M65" s="62"/>
      <c r="N65" s="143">
        <f t="shared" si="11"/>
        <v>0</v>
      </c>
      <c r="O65" s="169"/>
      <c r="P65" s="121">
        <f t="shared" si="6"/>
        <v>0</v>
      </c>
      <c r="Q65" s="166"/>
      <c r="R65" s="121">
        <f t="shared" si="7"/>
        <v>0</v>
      </c>
      <c r="S65" s="166"/>
      <c r="T65" s="166"/>
      <c r="U65" s="121">
        <f t="shared" si="8"/>
        <v>0</v>
      </c>
      <c r="V65" s="166"/>
      <c r="W65" s="121">
        <f t="shared" si="13"/>
        <v>0</v>
      </c>
      <c r="X65" s="170"/>
    </row>
    <row r="66" spans="1:27" ht="16.5" thickBot="1">
      <c r="A66" s="156">
        <v>19</v>
      </c>
      <c r="B66" s="157" t="s">
        <v>77</v>
      </c>
      <c r="C66" s="523" t="s">
        <v>47</v>
      </c>
      <c r="D66" s="903">
        <f t="shared" si="1"/>
        <v>0</v>
      </c>
      <c r="E66" s="911"/>
      <c r="F66" s="954"/>
      <c r="G66" s="955"/>
      <c r="H66" s="926">
        <f t="shared" si="3"/>
        <v>0</v>
      </c>
      <c r="I66" s="62"/>
      <c r="J66" s="62"/>
      <c r="K66" s="903">
        <f t="shared" si="2"/>
        <v>0</v>
      </c>
      <c r="L66" s="62"/>
      <c r="M66" s="62"/>
      <c r="N66" s="161">
        <f t="shared" si="11"/>
        <v>0</v>
      </c>
      <c r="O66" s="162"/>
      <c r="P66" s="138">
        <f t="shared" si="6"/>
        <v>0</v>
      </c>
      <c r="Q66" s="158"/>
      <c r="R66" s="138">
        <f t="shared" si="7"/>
        <v>0</v>
      </c>
      <c r="S66" s="158"/>
      <c r="T66" s="158"/>
      <c r="U66" s="138">
        <f t="shared" si="8"/>
        <v>0</v>
      </c>
      <c r="V66" s="158"/>
      <c r="W66" s="138">
        <f t="shared" si="13"/>
        <v>0</v>
      </c>
      <c r="X66" s="163"/>
    </row>
    <row r="67" spans="1:27" ht="16.5" thickBot="1">
      <c r="A67" s="164"/>
      <c r="B67" s="165"/>
      <c r="C67" s="524" t="s">
        <v>21</v>
      </c>
      <c r="D67" s="903">
        <f t="shared" si="1"/>
        <v>0</v>
      </c>
      <c r="E67" s="912"/>
      <c r="F67" s="956"/>
      <c r="G67" s="957"/>
      <c r="H67" s="926">
        <f t="shared" si="3"/>
        <v>0</v>
      </c>
      <c r="I67" s="62"/>
      <c r="J67" s="62"/>
      <c r="K67" s="903">
        <f t="shared" si="2"/>
        <v>0</v>
      </c>
      <c r="L67" s="62"/>
      <c r="M67" s="62"/>
      <c r="N67" s="143">
        <f t="shared" si="11"/>
        <v>0</v>
      </c>
      <c r="O67" s="169"/>
      <c r="P67" s="121">
        <f t="shared" si="6"/>
        <v>0</v>
      </c>
      <c r="Q67" s="166"/>
      <c r="R67" s="121">
        <f t="shared" si="7"/>
        <v>0</v>
      </c>
      <c r="S67" s="166"/>
      <c r="T67" s="166"/>
      <c r="U67" s="121">
        <f t="shared" si="8"/>
        <v>0</v>
      </c>
      <c r="V67" s="166"/>
      <c r="W67" s="121">
        <f t="shared" si="13"/>
        <v>0</v>
      </c>
      <c r="X67" s="170"/>
    </row>
    <row r="68" spans="1:27" ht="32.25" thickBot="1">
      <c r="A68" s="156">
        <v>20</v>
      </c>
      <c r="B68" s="171" t="s">
        <v>78</v>
      </c>
      <c r="C68" s="523" t="s">
        <v>79</v>
      </c>
      <c r="D68" s="903">
        <f t="shared" si="1"/>
        <v>0</v>
      </c>
      <c r="E68" s="911">
        <v>0</v>
      </c>
      <c r="F68" s="954"/>
      <c r="G68" s="955"/>
      <c r="H68" s="926">
        <f t="shared" si="3"/>
        <v>0</v>
      </c>
      <c r="I68" s="62"/>
      <c r="J68" s="62"/>
      <c r="K68" s="903">
        <f t="shared" si="2"/>
        <v>0</v>
      </c>
      <c r="L68" s="62"/>
      <c r="M68" s="62"/>
      <c r="N68" s="161">
        <f t="shared" si="11"/>
        <v>0</v>
      </c>
      <c r="O68" s="162"/>
      <c r="P68" s="138">
        <f t="shared" si="6"/>
        <v>0</v>
      </c>
      <c r="Q68" s="158"/>
      <c r="R68" s="138">
        <f t="shared" si="7"/>
        <v>0</v>
      </c>
      <c r="S68" s="158"/>
      <c r="T68" s="158"/>
      <c r="U68" s="138">
        <f t="shared" si="8"/>
        <v>0</v>
      </c>
      <c r="V68" s="158"/>
      <c r="W68" s="138">
        <f t="shared" si="13"/>
        <v>0</v>
      </c>
      <c r="X68" s="163"/>
    </row>
    <row r="69" spans="1:27" ht="16.5" thickBot="1">
      <c r="A69" s="164"/>
      <c r="B69" s="165"/>
      <c r="C69" s="524" t="s">
        <v>21</v>
      </c>
      <c r="D69" s="903">
        <f t="shared" si="1"/>
        <v>0</v>
      </c>
      <c r="E69" s="912">
        <v>0</v>
      </c>
      <c r="F69" s="956"/>
      <c r="G69" s="957"/>
      <c r="H69" s="926">
        <f t="shared" si="3"/>
        <v>0</v>
      </c>
      <c r="I69" s="62"/>
      <c r="J69" s="62"/>
      <c r="K69" s="903">
        <f t="shared" si="2"/>
        <v>0</v>
      </c>
      <c r="L69" s="62"/>
      <c r="M69" s="62"/>
      <c r="N69" s="143">
        <f t="shared" si="11"/>
        <v>0</v>
      </c>
      <c r="O69" s="169"/>
      <c r="P69" s="121">
        <f t="shared" si="6"/>
        <v>0</v>
      </c>
      <c r="Q69" s="166"/>
      <c r="R69" s="121">
        <f t="shared" si="7"/>
        <v>0</v>
      </c>
      <c r="S69" s="166"/>
      <c r="T69" s="166"/>
      <c r="U69" s="121">
        <f t="shared" si="8"/>
        <v>0</v>
      </c>
      <c r="V69" s="166"/>
      <c r="W69" s="121">
        <f t="shared" si="13"/>
        <v>0</v>
      </c>
      <c r="X69" s="170"/>
    </row>
    <row r="70" spans="1:27" ht="32.25" thickBot="1">
      <c r="A70" s="156">
        <v>21</v>
      </c>
      <c r="B70" s="171" t="s">
        <v>80</v>
      </c>
      <c r="C70" s="523" t="s">
        <v>24</v>
      </c>
      <c r="D70" s="903">
        <f t="shared" si="1"/>
        <v>0</v>
      </c>
      <c r="E70" s="911"/>
      <c r="F70" s="954"/>
      <c r="G70" s="955"/>
      <c r="H70" s="926">
        <f t="shared" si="3"/>
        <v>0</v>
      </c>
      <c r="I70" s="62"/>
      <c r="J70" s="62"/>
      <c r="K70" s="903">
        <f t="shared" si="2"/>
        <v>0</v>
      </c>
      <c r="L70" s="62"/>
      <c r="M70" s="62"/>
      <c r="N70" s="161">
        <f t="shared" si="11"/>
        <v>0</v>
      </c>
      <c r="O70" s="162"/>
      <c r="P70" s="138">
        <f t="shared" si="6"/>
        <v>0</v>
      </c>
      <c r="Q70" s="158"/>
      <c r="R70" s="138">
        <f t="shared" si="7"/>
        <v>0</v>
      </c>
      <c r="S70" s="158"/>
      <c r="T70" s="158"/>
      <c r="U70" s="138">
        <f t="shared" si="8"/>
        <v>0</v>
      </c>
      <c r="V70" s="158"/>
      <c r="W70" s="138">
        <f t="shared" si="13"/>
        <v>0</v>
      </c>
      <c r="X70" s="163"/>
    </row>
    <row r="71" spans="1:27" s="6" customFormat="1" ht="16.5" thickBot="1">
      <c r="A71" s="164"/>
      <c r="B71" s="165"/>
      <c r="C71" s="524" t="s">
        <v>21</v>
      </c>
      <c r="D71" s="903">
        <f t="shared" si="1"/>
        <v>0</v>
      </c>
      <c r="E71" s="912"/>
      <c r="F71" s="956"/>
      <c r="G71" s="957"/>
      <c r="H71" s="926">
        <f t="shared" si="3"/>
        <v>0</v>
      </c>
      <c r="I71" s="62"/>
      <c r="J71" s="62"/>
      <c r="K71" s="903">
        <f t="shared" si="2"/>
        <v>0</v>
      </c>
      <c r="L71" s="62"/>
      <c r="M71" s="62"/>
      <c r="N71" s="143">
        <f t="shared" si="11"/>
        <v>0</v>
      </c>
      <c r="O71" s="169"/>
      <c r="P71" s="121">
        <f t="shared" si="6"/>
        <v>0</v>
      </c>
      <c r="Q71" s="166"/>
      <c r="R71" s="121">
        <f t="shared" si="7"/>
        <v>0</v>
      </c>
      <c r="S71" s="166"/>
      <c r="T71" s="166"/>
      <c r="U71" s="121">
        <f t="shared" si="8"/>
        <v>0</v>
      </c>
      <c r="V71" s="166"/>
      <c r="W71" s="121">
        <f t="shared" si="13"/>
        <v>0</v>
      </c>
      <c r="X71" s="170"/>
    </row>
    <row r="72" spans="1:27" ht="17.25" thickTop="1" thickBot="1">
      <c r="A72" s="556" t="s">
        <v>81</v>
      </c>
      <c r="B72" s="557" t="s">
        <v>82</v>
      </c>
      <c r="C72" s="525" t="s">
        <v>21</v>
      </c>
      <c r="D72" s="903">
        <f t="shared" si="1"/>
        <v>385.28000000000003</v>
      </c>
      <c r="E72" s="913">
        <f t="shared" ref="E72:X72" si="14">E74+E84+E86</f>
        <v>0</v>
      </c>
      <c r="F72" s="913">
        <f t="shared" si="14"/>
        <v>0</v>
      </c>
      <c r="G72" s="958">
        <f t="shared" si="14"/>
        <v>0</v>
      </c>
      <c r="H72" s="926">
        <f t="shared" si="3"/>
        <v>336.64600000000002</v>
      </c>
      <c r="I72" s="560">
        <f>I74+I84+I86</f>
        <v>336.64600000000002</v>
      </c>
      <c r="J72" s="560">
        <f>J74+J84+J86</f>
        <v>0</v>
      </c>
      <c r="K72" s="903">
        <f t="shared" si="2"/>
        <v>48.634</v>
      </c>
      <c r="L72" s="561">
        <f t="shared" si="14"/>
        <v>48.634</v>
      </c>
      <c r="M72" s="561">
        <f t="shared" si="14"/>
        <v>0</v>
      </c>
      <c r="N72" s="972">
        <f t="shared" si="14"/>
        <v>0</v>
      </c>
      <c r="O72" s="558">
        <f t="shared" si="14"/>
        <v>0</v>
      </c>
      <c r="P72" s="558">
        <f t="shared" si="14"/>
        <v>0</v>
      </c>
      <c r="Q72" s="558">
        <f t="shared" si="14"/>
        <v>0</v>
      </c>
      <c r="R72" s="558">
        <f t="shared" si="14"/>
        <v>0</v>
      </c>
      <c r="S72" s="558">
        <f t="shared" si="14"/>
        <v>0</v>
      </c>
      <c r="T72" s="558">
        <f t="shared" si="14"/>
        <v>0</v>
      </c>
      <c r="U72" s="558">
        <f t="shared" si="14"/>
        <v>0</v>
      </c>
      <c r="V72" s="558">
        <f t="shared" si="14"/>
        <v>0</v>
      </c>
      <c r="W72" s="558">
        <f t="shared" si="14"/>
        <v>0</v>
      </c>
      <c r="X72" s="558">
        <f t="shared" si="14"/>
        <v>0</v>
      </c>
      <c r="Y72" s="9"/>
      <c r="Z72" s="9"/>
      <c r="AA72" s="9"/>
    </row>
    <row r="73" spans="1:27" ht="18.75" customHeight="1" thickTop="1" thickBot="1">
      <c r="A73" s="111">
        <v>18</v>
      </c>
      <c r="B73" s="180" t="s">
        <v>83</v>
      </c>
      <c r="C73" s="526" t="s">
        <v>51</v>
      </c>
      <c r="D73" s="903">
        <f t="shared" si="1"/>
        <v>0.26305000000000001</v>
      </c>
      <c r="E73" s="905">
        <f t="shared" ref="E73:L74" si="15">E75+E77+E79+E81</f>
        <v>0</v>
      </c>
      <c r="F73" s="905">
        <f t="shared" si="15"/>
        <v>0</v>
      </c>
      <c r="G73" s="905">
        <f t="shared" si="15"/>
        <v>0</v>
      </c>
      <c r="H73" s="926">
        <f t="shared" si="3"/>
        <v>0.22105000000000002</v>
      </c>
      <c r="I73" s="613">
        <f t="shared" ref="I73:I74" si="16">I75+I77+I79+I81</f>
        <v>0.22105000000000002</v>
      </c>
      <c r="J73" s="18"/>
      <c r="K73" s="932">
        <f t="shared" si="2"/>
        <v>4.1999999999999996E-2</v>
      </c>
      <c r="L73" s="18">
        <f t="shared" si="15"/>
        <v>4.1999999999999996E-2</v>
      </c>
      <c r="M73" s="18">
        <f>M75+M77+M79+M81</f>
        <v>0</v>
      </c>
      <c r="N73" s="54">
        <f t="shared" ref="N73:X74" si="17">N75+N77+N79+N81</f>
        <v>0</v>
      </c>
      <c r="O73" s="53">
        <f t="shared" si="17"/>
        <v>0</v>
      </c>
      <c r="P73" s="53">
        <f t="shared" si="17"/>
        <v>0</v>
      </c>
      <c r="Q73" s="53">
        <f t="shared" si="17"/>
        <v>0</v>
      </c>
      <c r="R73" s="53">
        <f t="shared" si="17"/>
        <v>0</v>
      </c>
      <c r="S73" s="53">
        <f t="shared" si="17"/>
        <v>0</v>
      </c>
      <c r="T73" s="53">
        <f t="shared" si="17"/>
        <v>0</v>
      </c>
      <c r="U73" s="53">
        <f t="shared" si="17"/>
        <v>0</v>
      </c>
      <c r="V73" s="53">
        <f t="shared" si="17"/>
        <v>0</v>
      </c>
      <c r="W73" s="53">
        <f t="shared" si="17"/>
        <v>0</v>
      </c>
      <c r="X73" s="53">
        <f t="shared" si="17"/>
        <v>0</v>
      </c>
      <c r="Y73" s="9"/>
      <c r="Z73" s="9"/>
      <c r="AA73" s="9"/>
    </row>
    <row r="74" spans="1:27" ht="16.5" thickBot="1">
      <c r="A74" s="60"/>
      <c r="B74" s="180" t="s">
        <v>84</v>
      </c>
      <c r="C74" s="527" t="s">
        <v>21</v>
      </c>
      <c r="D74" s="903">
        <f t="shared" si="1"/>
        <v>234.09300000000002</v>
      </c>
      <c r="E74" s="905">
        <f t="shared" si="15"/>
        <v>0</v>
      </c>
      <c r="F74" s="905">
        <f t="shared" si="15"/>
        <v>0</v>
      </c>
      <c r="G74" s="905">
        <f t="shared" si="15"/>
        <v>0</v>
      </c>
      <c r="H74" s="926">
        <f t="shared" si="3"/>
        <v>199.99800000000002</v>
      </c>
      <c r="I74" s="613">
        <f t="shared" si="16"/>
        <v>199.99800000000002</v>
      </c>
      <c r="J74" s="18"/>
      <c r="K74" s="932">
        <f t="shared" si="2"/>
        <v>34.094999999999999</v>
      </c>
      <c r="L74" s="18">
        <f>L76+L78+L80+L82</f>
        <v>34.094999999999999</v>
      </c>
      <c r="M74" s="18">
        <f>M76+M78+M80+M82</f>
        <v>0</v>
      </c>
      <c r="N74" s="54">
        <f t="shared" si="17"/>
        <v>0</v>
      </c>
      <c r="O74" s="53">
        <f t="shared" si="17"/>
        <v>0</v>
      </c>
      <c r="P74" s="53">
        <f t="shared" si="17"/>
        <v>0</v>
      </c>
      <c r="Q74" s="53">
        <f t="shared" si="17"/>
        <v>0</v>
      </c>
      <c r="R74" s="53">
        <f t="shared" si="17"/>
        <v>0</v>
      </c>
      <c r="S74" s="53">
        <f t="shared" si="17"/>
        <v>0</v>
      </c>
      <c r="T74" s="53">
        <f t="shared" si="17"/>
        <v>0</v>
      </c>
      <c r="U74" s="53">
        <f t="shared" si="17"/>
        <v>0</v>
      </c>
      <c r="V74" s="53">
        <f t="shared" si="17"/>
        <v>0</v>
      </c>
      <c r="W74" s="53">
        <f t="shared" si="17"/>
        <v>0</v>
      </c>
      <c r="X74" s="53">
        <f t="shared" si="17"/>
        <v>0</v>
      </c>
      <c r="Y74" s="9"/>
      <c r="Z74" s="9"/>
      <c r="AA74" s="9"/>
    </row>
    <row r="75" spans="1:27" ht="16.5" thickBot="1">
      <c r="A75" s="183" t="s">
        <v>85</v>
      </c>
      <c r="B75" s="184" t="s">
        <v>86</v>
      </c>
      <c r="C75" s="527" t="s">
        <v>87</v>
      </c>
      <c r="D75" s="903">
        <f t="shared" si="1"/>
        <v>7.0000000000000001E-3</v>
      </c>
      <c r="E75" s="906">
        <f t="shared" ref="E75:E86" si="18">F75+G75</f>
        <v>0</v>
      </c>
      <c r="F75" s="930"/>
      <c r="G75" s="930"/>
      <c r="H75" s="926">
        <f t="shared" si="3"/>
        <v>2E-3</v>
      </c>
      <c r="I75" s="608">
        <f>0.002</f>
        <v>2E-3</v>
      </c>
      <c r="J75" s="20"/>
      <c r="K75" s="932">
        <f t="shared" si="2"/>
        <v>5.0000000000000001E-3</v>
      </c>
      <c r="L75" s="608">
        <f>0.001+0.004</f>
        <v>5.0000000000000001E-3</v>
      </c>
      <c r="M75" s="20"/>
      <c r="N75" s="59">
        <f t="shared" ref="N75:N86" si="19">O75</f>
        <v>0</v>
      </c>
      <c r="O75" s="64"/>
      <c r="P75" s="57">
        <f t="shared" ref="P75:P86" si="20">Q75</f>
        <v>0</v>
      </c>
      <c r="Q75" s="57"/>
      <c r="R75" s="57">
        <f t="shared" ref="R75:R86" si="21">S75+T75</f>
        <v>0</v>
      </c>
      <c r="S75" s="57"/>
      <c r="T75" s="57"/>
      <c r="U75" s="57">
        <f t="shared" ref="U75:U86" si="22">V75</f>
        <v>0</v>
      </c>
      <c r="V75" s="57"/>
      <c r="W75" s="57">
        <f t="shared" ref="W75:W86" si="23">X75</f>
        <v>0</v>
      </c>
      <c r="X75" s="57"/>
      <c r="Y75" s="9"/>
      <c r="Z75" s="9"/>
      <c r="AA75" s="9"/>
    </row>
    <row r="76" spans="1:27" ht="16.5" thickBot="1">
      <c r="A76" s="67"/>
      <c r="B76" s="184"/>
      <c r="C76" s="527" t="s">
        <v>21</v>
      </c>
      <c r="D76" s="903">
        <f t="shared" si="1"/>
        <v>5.3879999999999999</v>
      </c>
      <c r="E76" s="906">
        <f t="shared" si="18"/>
        <v>0</v>
      </c>
      <c r="F76" s="930"/>
      <c r="G76" s="930"/>
      <c r="H76" s="926">
        <f t="shared" si="3"/>
        <v>1.335</v>
      </c>
      <c r="I76" s="608">
        <f>1.335</f>
        <v>1.335</v>
      </c>
      <c r="J76" s="20"/>
      <c r="K76" s="932">
        <f t="shared" si="2"/>
        <v>4.0529999999999999</v>
      </c>
      <c r="L76" s="608">
        <f>0.316+3.737</f>
        <v>4.0529999999999999</v>
      </c>
      <c r="M76" s="20"/>
      <c r="N76" s="59">
        <f t="shared" si="19"/>
        <v>0</v>
      </c>
      <c r="O76" s="64"/>
      <c r="P76" s="57">
        <f t="shared" si="20"/>
        <v>0</v>
      </c>
      <c r="Q76" s="57"/>
      <c r="R76" s="57">
        <f t="shared" si="21"/>
        <v>0</v>
      </c>
      <c r="S76" s="57"/>
      <c r="T76" s="57"/>
      <c r="U76" s="57">
        <f t="shared" si="22"/>
        <v>0</v>
      </c>
      <c r="V76" s="57"/>
      <c r="W76" s="57">
        <f t="shared" si="23"/>
        <v>0</v>
      </c>
      <c r="X76" s="57"/>
      <c r="Y76" s="9"/>
      <c r="Z76" s="9"/>
      <c r="AA76" s="9"/>
    </row>
    <row r="77" spans="1:27" ht="16.5" thickBot="1">
      <c r="A77" s="183" t="s">
        <v>88</v>
      </c>
      <c r="B77" s="184" t="s">
        <v>89</v>
      </c>
      <c r="C77" s="527" t="s">
        <v>51</v>
      </c>
      <c r="D77" s="903">
        <f t="shared" si="1"/>
        <v>0.10550000000000002</v>
      </c>
      <c r="E77" s="906">
        <f t="shared" si="18"/>
        <v>0</v>
      </c>
      <c r="F77" s="930"/>
      <c r="G77" s="930"/>
      <c r="H77" s="926">
        <f t="shared" si="3"/>
        <v>9.600000000000003E-2</v>
      </c>
      <c r="I77" s="608">
        <f>0.0015+0.002+0.014+0.0015+0.008+0.0015+0.001+0.0025+0.022+0.008+0.003+0.003+0.0045+0.008+0.003+0.0065+0.006</f>
        <v>9.600000000000003E-2</v>
      </c>
      <c r="J77" s="20"/>
      <c r="K77" s="932">
        <f t="shared" si="2"/>
        <v>9.4999999999999998E-3</v>
      </c>
      <c r="L77" s="608">
        <f>0.001+0.0015+0.003+0.004</f>
        <v>9.4999999999999998E-3</v>
      </c>
      <c r="M77" s="20"/>
      <c r="N77" s="59">
        <f t="shared" si="19"/>
        <v>0</v>
      </c>
      <c r="O77" s="64"/>
      <c r="P77" s="57">
        <f t="shared" si="20"/>
        <v>0</v>
      </c>
      <c r="Q77" s="57"/>
      <c r="R77" s="57">
        <f t="shared" si="21"/>
        <v>0</v>
      </c>
      <c r="S77" s="57"/>
      <c r="T77" s="57"/>
      <c r="U77" s="57">
        <f t="shared" si="22"/>
        <v>0</v>
      </c>
      <c r="V77" s="57"/>
      <c r="W77" s="57">
        <f t="shared" si="23"/>
        <v>0</v>
      </c>
      <c r="X77" s="57"/>
      <c r="Y77" s="9"/>
      <c r="Z77" s="9"/>
      <c r="AA77" s="9"/>
    </row>
    <row r="78" spans="1:27" ht="16.5" thickBot="1">
      <c r="A78" s="67"/>
      <c r="B78" s="184"/>
      <c r="C78" s="527" t="s">
        <v>21</v>
      </c>
      <c r="D78" s="903">
        <f t="shared" ref="D78:D97" si="24">H78+K78</f>
        <v>75.158000000000001</v>
      </c>
      <c r="E78" s="906">
        <f t="shared" si="18"/>
        <v>0</v>
      </c>
      <c r="F78" s="930"/>
      <c r="G78" s="930"/>
      <c r="H78" s="926">
        <f t="shared" si="3"/>
        <v>67.171000000000006</v>
      </c>
      <c r="I78" s="608">
        <f>1.002+10.721+0.977+7.83+0.977+0.653+16.279+5.213+3.965+2.972+4.804+1.945+5.465+4.368</f>
        <v>67.171000000000006</v>
      </c>
      <c r="J78" s="20"/>
      <c r="K78" s="932">
        <f t="shared" ref="K78:K97" si="25">L78+M78</f>
        <v>7.9870000000000001</v>
      </c>
      <c r="L78" s="614">
        <f>0.653+2.407+0.497+2.043+2.387</f>
        <v>7.9870000000000001</v>
      </c>
      <c r="M78" s="20"/>
      <c r="N78" s="59">
        <f t="shared" si="19"/>
        <v>0</v>
      </c>
      <c r="O78" s="64"/>
      <c r="P78" s="57">
        <f t="shared" si="20"/>
        <v>0</v>
      </c>
      <c r="Q78" s="57"/>
      <c r="R78" s="57">
        <f t="shared" si="21"/>
        <v>0</v>
      </c>
      <c r="S78" s="57"/>
      <c r="T78" s="57"/>
      <c r="U78" s="57">
        <f t="shared" si="22"/>
        <v>0</v>
      </c>
      <c r="V78" s="57"/>
      <c r="W78" s="57">
        <f t="shared" si="23"/>
        <v>0</v>
      </c>
      <c r="X78" s="57"/>
      <c r="Y78" s="9"/>
      <c r="Z78" s="9"/>
      <c r="AA78" s="9"/>
    </row>
    <row r="79" spans="1:27" ht="16.5" thickBot="1">
      <c r="A79" s="183" t="s">
        <v>90</v>
      </c>
      <c r="B79" s="184" t="s">
        <v>91</v>
      </c>
      <c r="C79" s="527" t="s">
        <v>51</v>
      </c>
      <c r="D79" s="903">
        <f t="shared" si="24"/>
        <v>5.3499999999999999E-2</v>
      </c>
      <c r="E79" s="906">
        <f t="shared" si="18"/>
        <v>0</v>
      </c>
      <c r="F79" s="930"/>
      <c r="G79" s="930"/>
      <c r="H79" s="926">
        <f t="shared" ref="H79:H97" si="26">I79+J79</f>
        <v>4.5499999999999999E-2</v>
      </c>
      <c r="I79" s="608">
        <f>0.002+0.001+0.002+0.0015+0.002+0.002+0.008+0.006+0.013+0.004+0.004</f>
        <v>4.5499999999999999E-2</v>
      </c>
      <c r="J79" s="20"/>
      <c r="K79" s="932">
        <f t="shared" si="25"/>
        <v>8.0000000000000002E-3</v>
      </c>
      <c r="L79" s="608">
        <f>0.002+0.006</f>
        <v>8.0000000000000002E-3</v>
      </c>
      <c r="M79" s="20"/>
      <c r="N79" s="59">
        <f t="shared" si="19"/>
        <v>0</v>
      </c>
      <c r="O79" s="64"/>
      <c r="P79" s="57">
        <f t="shared" si="20"/>
        <v>0</v>
      </c>
      <c r="Q79" s="57"/>
      <c r="R79" s="57">
        <f t="shared" si="21"/>
        <v>0</v>
      </c>
      <c r="S79" s="57"/>
      <c r="T79" s="57"/>
      <c r="U79" s="57">
        <f t="shared" si="22"/>
        <v>0</v>
      </c>
      <c r="V79" s="57"/>
      <c r="W79" s="57">
        <f t="shared" si="23"/>
        <v>0</v>
      </c>
      <c r="X79" s="57"/>
      <c r="Y79" s="9"/>
      <c r="Z79" s="9"/>
      <c r="AA79" s="9"/>
    </row>
    <row r="80" spans="1:27" ht="16.5" thickBot="1">
      <c r="A80" s="67"/>
      <c r="B80" s="184"/>
      <c r="C80" s="527" t="s">
        <v>21</v>
      </c>
      <c r="D80" s="903">
        <f t="shared" si="24"/>
        <v>42.703000000000003</v>
      </c>
      <c r="E80" s="906">
        <f t="shared" si="18"/>
        <v>0</v>
      </c>
      <c r="F80" s="930"/>
      <c r="G80" s="930"/>
      <c r="H80" s="926">
        <f t="shared" si="26"/>
        <v>35.573</v>
      </c>
      <c r="I80" s="608">
        <f>3.794+1.582+4.578+0.989+1.558+1.562+5.036+3.473+9.138+3.863</f>
        <v>35.573</v>
      </c>
      <c r="J80" s="20"/>
      <c r="K80" s="932">
        <f t="shared" si="25"/>
        <v>7.13</v>
      </c>
      <c r="L80" s="608">
        <f>3.565+3.565</f>
        <v>7.13</v>
      </c>
      <c r="M80" s="20"/>
      <c r="N80" s="59">
        <f t="shared" si="19"/>
        <v>0</v>
      </c>
      <c r="O80" s="64"/>
      <c r="P80" s="57">
        <f t="shared" si="20"/>
        <v>0</v>
      </c>
      <c r="Q80" s="57"/>
      <c r="R80" s="57">
        <f t="shared" si="21"/>
        <v>0</v>
      </c>
      <c r="S80" s="57"/>
      <c r="T80" s="57"/>
      <c r="U80" s="57">
        <f t="shared" si="22"/>
        <v>0</v>
      </c>
      <c r="V80" s="57"/>
      <c r="W80" s="57">
        <f t="shared" si="23"/>
        <v>0</v>
      </c>
      <c r="X80" s="57"/>
      <c r="Y80" s="9"/>
      <c r="Z80" s="9"/>
      <c r="AA80" s="9"/>
    </row>
    <row r="81" spans="1:27" ht="16.5" thickBot="1">
      <c r="A81" s="183" t="s">
        <v>92</v>
      </c>
      <c r="B81" s="184" t="s">
        <v>93</v>
      </c>
      <c r="C81" s="527" t="s">
        <v>51</v>
      </c>
      <c r="D81" s="903">
        <f t="shared" si="24"/>
        <v>9.7050000000000025E-2</v>
      </c>
      <c r="E81" s="906">
        <f t="shared" si="18"/>
        <v>0</v>
      </c>
      <c r="F81" s="930"/>
      <c r="G81" s="930"/>
      <c r="H81" s="926">
        <f t="shared" si="26"/>
        <v>7.7550000000000022E-2</v>
      </c>
      <c r="I81" s="608">
        <f>0.002+0.006+0.002+0.005+0.005+0.006+0.007+0.003+0.002+0.003+0.00055+0.001+0.007+0.019+0.002+0.003+0.004</f>
        <v>7.7550000000000022E-2</v>
      </c>
      <c r="J81" s="20"/>
      <c r="K81" s="932">
        <f t="shared" si="25"/>
        <v>1.95E-2</v>
      </c>
      <c r="L81" s="608">
        <f>0.0035+0.003+0.003+0.007+0.003</f>
        <v>1.95E-2</v>
      </c>
      <c r="M81" s="20"/>
      <c r="N81" s="59">
        <f t="shared" si="19"/>
        <v>0</v>
      </c>
      <c r="O81" s="64"/>
      <c r="P81" s="57">
        <f t="shared" si="20"/>
        <v>0</v>
      </c>
      <c r="Q81" s="57"/>
      <c r="R81" s="57">
        <f t="shared" si="21"/>
        <v>0</v>
      </c>
      <c r="S81" s="57"/>
      <c r="T81" s="57"/>
      <c r="U81" s="57">
        <f t="shared" si="22"/>
        <v>0</v>
      </c>
      <c r="V81" s="57"/>
      <c r="W81" s="57">
        <f t="shared" si="23"/>
        <v>0</v>
      </c>
      <c r="X81" s="57"/>
      <c r="Y81" s="9"/>
      <c r="Z81" s="9"/>
      <c r="AA81" s="9"/>
    </row>
    <row r="82" spans="1:27" ht="16.5" thickBot="1">
      <c r="A82" s="149"/>
      <c r="B82" s="186"/>
      <c r="C82" s="528" t="s">
        <v>21</v>
      </c>
      <c r="D82" s="903">
        <f t="shared" si="24"/>
        <v>110.84400000000001</v>
      </c>
      <c r="E82" s="906">
        <f t="shared" si="18"/>
        <v>0</v>
      </c>
      <c r="F82" s="930"/>
      <c r="G82" s="930"/>
      <c r="H82" s="926">
        <f t="shared" si="26"/>
        <v>95.919000000000011</v>
      </c>
      <c r="I82" s="608">
        <f>1.004+2.579+3.252+7.838+7.788+9.6+6.374+25.738+1.075+1.613+0.405+0.538+4.246+10.108+1.935+5.23+6.596</f>
        <v>95.919000000000011</v>
      </c>
      <c r="J82" s="20"/>
      <c r="K82" s="932">
        <f t="shared" si="25"/>
        <v>14.925000000000001</v>
      </c>
      <c r="L82" s="608">
        <f>5.594+9.331</f>
        <v>14.925000000000001</v>
      </c>
      <c r="M82" s="20"/>
      <c r="N82" s="59">
        <f t="shared" si="19"/>
        <v>0</v>
      </c>
      <c r="O82" s="120"/>
      <c r="P82" s="57">
        <f t="shared" si="20"/>
        <v>0</v>
      </c>
      <c r="Q82" s="72"/>
      <c r="R82" s="57">
        <f t="shared" si="21"/>
        <v>0</v>
      </c>
      <c r="S82" s="72"/>
      <c r="T82" s="72"/>
      <c r="U82" s="57">
        <f t="shared" si="22"/>
        <v>0</v>
      </c>
      <c r="V82" s="72"/>
      <c r="W82" s="57">
        <f t="shared" si="23"/>
        <v>0</v>
      </c>
      <c r="X82" s="72"/>
      <c r="Y82" s="9"/>
      <c r="Z82" s="9"/>
      <c r="AA82" s="9"/>
    </row>
    <row r="83" spans="1:27" ht="16.5" thickBot="1">
      <c r="A83" s="113">
        <v>19</v>
      </c>
      <c r="B83" s="188" t="s">
        <v>94</v>
      </c>
      <c r="C83" s="529" t="s">
        <v>47</v>
      </c>
      <c r="D83" s="903">
        <f t="shared" si="24"/>
        <v>5</v>
      </c>
      <c r="E83" s="906">
        <f t="shared" si="18"/>
        <v>0</v>
      </c>
      <c r="F83" s="930"/>
      <c r="G83" s="930"/>
      <c r="H83" s="926">
        <f t="shared" si="26"/>
        <v>5</v>
      </c>
      <c r="I83" s="608">
        <f>2+1+1+1</f>
        <v>5</v>
      </c>
      <c r="J83" s="20"/>
      <c r="K83" s="932">
        <f t="shared" si="25"/>
        <v>0</v>
      </c>
      <c r="L83" s="608"/>
      <c r="M83" s="20"/>
      <c r="N83" s="59">
        <f t="shared" si="19"/>
        <v>0</v>
      </c>
      <c r="O83" s="137"/>
      <c r="P83" s="57">
        <f t="shared" si="20"/>
        <v>0</v>
      </c>
      <c r="Q83" s="123"/>
      <c r="R83" s="57">
        <f t="shared" si="21"/>
        <v>0</v>
      </c>
      <c r="S83" s="123"/>
      <c r="T83" s="123"/>
      <c r="U83" s="57">
        <f t="shared" si="22"/>
        <v>0</v>
      </c>
      <c r="V83" s="123"/>
      <c r="W83" s="57">
        <f t="shared" si="23"/>
        <v>0</v>
      </c>
      <c r="X83" s="123"/>
      <c r="Y83" s="9"/>
      <c r="Z83" s="9"/>
      <c r="AA83" s="9"/>
    </row>
    <row r="84" spans="1:27" ht="16.5" thickBot="1">
      <c r="A84" s="149"/>
      <c r="B84" s="186"/>
      <c r="C84" s="530" t="s">
        <v>21</v>
      </c>
      <c r="D84" s="903">
        <f t="shared" si="24"/>
        <v>27.558</v>
      </c>
      <c r="E84" s="906">
        <f t="shared" si="18"/>
        <v>0</v>
      </c>
      <c r="F84" s="930"/>
      <c r="G84" s="930"/>
      <c r="H84" s="926">
        <f t="shared" si="26"/>
        <v>27.558</v>
      </c>
      <c r="I84" s="608">
        <f>9.836+5.913+6.4+5.409</f>
        <v>27.558</v>
      </c>
      <c r="J84" s="20"/>
      <c r="K84" s="932">
        <f t="shared" si="25"/>
        <v>0</v>
      </c>
      <c r="L84" s="608"/>
      <c r="M84" s="20"/>
      <c r="N84" s="59">
        <f t="shared" si="19"/>
        <v>0</v>
      </c>
      <c r="O84" s="120"/>
      <c r="P84" s="57">
        <f t="shared" si="20"/>
        <v>0</v>
      </c>
      <c r="Q84" s="121"/>
      <c r="R84" s="57">
        <f t="shared" si="21"/>
        <v>0</v>
      </c>
      <c r="S84" s="121"/>
      <c r="T84" s="121"/>
      <c r="U84" s="57">
        <f t="shared" si="22"/>
        <v>0</v>
      </c>
      <c r="V84" s="121"/>
      <c r="W84" s="57">
        <f t="shared" si="23"/>
        <v>0</v>
      </c>
      <c r="X84" s="121"/>
      <c r="Y84" s="9"/>
      <c r="Z84" s="9"/>
      <c r="AA84" s="9"/>
    </row>
    <row r="85" spans="1:27" ht="16.5" thickBot="1">
      <c r="A85" s="191" t="s">
        <v>95</v>
      </c>
      <c r="B85" s="188" t="s">
        <v>197</v>
      </c>
      <c r="C85" s="529" t="s">
        <v>47</v>
      </c>
      <c r="D85" s="903">
        <f t="shared" si="24"/>
        <v>71</v>
      </c>
      <c r="E85" s="906">
        <f t="shared" si="18"/>
        <v>0</v>
      </c>
      <c r="F85" s="930"/>
      <c r="G85" s="930"/>
      <c r="H85" s="926">
        <f t="shared" si="26"/>
        <v>63</v>
      </c>
      <c r="I85" s="608">
        <f>3+1+1+1+4+2+2+1+1+1+2+3+2+7+1+4+2+1+2+5+7+3+4+1+1+1</f>
        <v>63</v>
      </c>
      <c r="J85" s="20"/>
      <c r="K85" s="932">
        <f t="shared" si="25"/>
        <v>8</v>
      </c>
      <c r="L85" s="608">
        <f>1+1+1+1+2+1+1</f>
        <v>8</v>
      </c>
      <c r="M85" s="20"/>
      <c r="N85" s="59">
        <f t="shared" si="19"/>
        <v>0</v>
      </c>
      <c r="O85" s="137"/>
      <c r="P85" s="57">
        <f t="shared" si="20"/>
        <v>0</v>
      </c>
      <c r="Q85" s="123"/>
      <c r="R85" s="57">
        <f t="shared" si="21"/>
        <v>0</v>
      </c>
      <c r="S85" s="123"/>
      <c r="T85" s="123"/>
      <c r="U85" s="57">
        <f t="shared" si="22"/>
        <v>0</v>
      </c>
      <c r="V85" s="123"/>
      <c r="W85" s="57">
        <f t="shared" si="23"/>
        <v>0</v>
      </c>
      <c r="X85" s="123"/>
      <c r="Y85" s="9"/>
      <c r="Z85" s="9"/>
      <c r="AA85" s="9"/>
    </row>
    <row r="86" spans="1:27" ht="16.5" thickBot="1">
      <c r="A86" s="192"/>
      <c r="B86" s="193" t="s">
        <v>97</v>
      </c>
      <c r="C86" s="530" t="s">
        <v>21</v>
      </c>
      <c r="D86" s="903">
        <f t="shared" si="24"/>
        <v>123.62899999999999</v>
      </c>
      <c r="E86" s="906">
        <f t="shared" si="18"/>
        <v>0</v>
      </c>
      <c r="F86" s="930"/>
      <c r="G86" s="930"/>
      <c r="H86" s="926">
        <f t="shared" si="26"/>
        <v>109.08999999999999</v>
      </c>
      <c r="I86" s="608">
        <f>2.684+0.667+0.667+0.667+6.832+1.038+1.421+1.226+0.787+2.843+6.202+0.925+1.736+10.06+4.278+4.105+11.275+4.178+12.043+2.607+9.06+10.614+4.118+1.291+6.475+1.291</f>
        <v>109.08999999999999</v>
      </c>
      <c r="J86" s="20"/>
      <c r="K86" s="932">
        <f t="shared" si="25"/>
        <v>14.539000000000001</v>
      </c>
      <c r="L86" s="608">
        <f>0.827+0.673+0.664+0.378+5.217+5.489+1.291</f>
        <v>14.539000000000001</v>
      </c>
      <c r="M86" s="20"/>
      <c r="N86" s="59">
        <f t="shared" si="19"/>
        <v>0</v>
      </c>
      <c r="O86" s="120"/>
      <c r="P86" s="57">
        <f t="shared" si="20"/>
        <v>0</v>
      </c>
      <c r="Q86" s="121"/>
      <c r="R86" s="57">
        <f t="shared" si="21"/>
        <v>0</v>
      </c>
      <c r="S86" s="121"/>
      <c r="T86" s="121"/>
      <c r="U86" s="57">
        <f t="shared" si="22"/>
        <v>0</v>
      </c>
      <c r="V86" s="121"/>
      <c r="W86" s="57">
        <f t="shared" si="23"/>
        <v>0</v>
      </c>
      <c r="X86" s="121"/>
      <c r="Y86" s="9"/>
      <c r="Z86" s="9"/>
      <c r="AA86" s="9"/>
    </row>
    <row r="87" spans="1:27" ht="17.25" thickTop="1" thickBot="1">
      <c r="A87" s="531" t="s">
        <v>98</v>
      </c>
      <c r="B87" s="557" t="s">
        <v>99</v>
      </c>
      <c r="C87" s="531" t="s">
        <v>21</v>
      </c>
      <c r="D87" s="903">
        <f t="shared" si="24"/>
        <v>44.598000000000006</v>
      </c>
      <c r="E87" s="913">
        <f t="shared" ref="E87:X87" si="27">E89+E91+E93</f>
        <v>0</v>
      </c>
      <c r="F87" s="913">
        <f t="shared" si="27"/>
        <v>0</v>
      </c>
      <c r="G87" s="913">
        <f t="shared" si="27"/>
        <v>0</v>
      </c>
      <c r="H87" s="926">
        <f t="shared" si="26"/>
        <v>44.598000000000006</v>
      </c>
      <c r="I87" s="564">
        <f t="shared" si="27"/>
        <v>44.598000000000006</v>
      </c>
      <c r="J87" s="564">
        <f t="shared" si="27"/>
        <v>0</v>
      </c>
      <c r="K87" s="903">
        <f t="shared" si="25"/>
        <v>0</v>
      </c>
      <c r="L87" s="564">
        <f t="shared" si="27"/>
        <v>0</v>
      </c>
      <c r="M87" s="564">
        <f t="shared" si="27"/>
        <v>0</v>
      </c>
      <c r="N87" s="972">
        <f t="shared" si="27"/>
        <v>0</v>
      </c>
      <c r="O87" s="558">
        <f t="shared" si="27"/>
        <v>0</v>
      </c>
      <c r="P87" s="558">
        <f t="shared" si="27"/>
        <v>0</v>
      </c>
      <c r="Q87" s="558">
        <f t="shared" si="27"/>
        <v>0</v>
      </c>
      <c r="R87" s="558">
        <f t="shared" si="27"/>
        <v>0</v>
      </c>
      <c r="S87" s="558">
        <f t="shared" si="27"/>
        <v>0</v>
      </c>
      <c r="T87" s="558">
        <f t="shared" si="27"/>
        <v>0</v>
      </c>
      <c r="U87" s="558">
        <f t="shared" si="27"/>
        <v>0</v>
      </c>
      <c r="V87" s="558">
        <f t="shared" si="27"/>
        <v>0</v>
      </c>
      <c r="W87" s="558">
        <f t="shared" si="27"/>
        <v>0</v>
      </c>
      <c r="X87" s="558">
        <f t="shared" si="27"/>
        <v>0</v>
      </c>
    </row>
    <row r="88" spans="1:27" ht="17.25" thickTop="1" thickBot="1">
      <c r="A88" s="153">
        <v>20</v>
      </c>
      <c r="B88" s="3" t="s">
        <v>100</v>
      </c>
      <c r="C88" s="523" t="s">
        <v>51</v>
      </c>
      <c r="D88" s="903">
        <f t="shared" si="24"/>
        <v>0</v>
      </c>
      <c r="E88" s="906">
        <f>F88+G88</f>
        <v>0</v>
      </c>
      <c r="F88" s="930"/>
      <c r="G88" s="930"/>
      <c r="H88" s="926">
        <f t="shared" si="26"/>
        <v>0</v>
      </c>
      <c r="I88" s="196"/>
      <c r="J88" s="197"/>
      <c r="K88" s="903">
        <f t="shared" si="25"/>
        <v>0</v>
      </c>
      <c r="L88" s="62"/>
      <c r="M88" s="62"/>
      <c r="N88" s="57">
        <f t="shared" ref="N88:N93" si="28">O88</f>
        <v>0</v>
      </c>
      <c r="O88" s="189"/>
      <c r="P88" s="57">
        <f t="shared" ref="P88:P93" si="29">Q88</f>
        <v>0</v>
      </c>
      <c r="Q88" s="123"/>
      <c r="R88" s="57">
        <f t="shared" ref="R88:R93" si="30">S88+T88</f>
        <v>0</v>
      </c>
      <c r="S88" s="123"/>
      <c r="T88" s="123"/>
      <c r="U88" s="57">
        <f t="shared" ref="U88:U93" si="31">V88</f>
        <v>0</v>
      </c>
      <c r="V88" s="123"/>
      <c r="W88" s="57">
        <f t="shared" ref="W88:W93" si="32">X88</f>
        <v>0</v>
      </c>
      <c r="X88" s="123"/>
    </row>
    <row r="89" spans="1:27" ht="16.5" thickBot="1">
      <c r="A89" s="198"/>
      <c r="B89" s="199" t="s">
        <v>101</v>
      </c>
      <c r="C89" s="524" t="s">
        <v>21</v>
      </c>
      <c r="D89" s="903">
        <f t="shared" si="24"/>
        <v>0</v>
      </c>
      <c r="E89" s="906">
        <f>F89+G89</f>
        <v>0</v>
      </c>
      <c r="F89" s="930"/>
      <c r="G89" s="930"/>
      <c r="H89" s="926">
        <f t="shared" si="26"/>
        <v>0</v>
      </c>
      <c r="I89" s="196"/>
      <c r="J89" s="197"/>
      <c r="K89" s="903">
        <f t="shared" si="25"/>
        <v>0</v>
      </c>
      <c r="L89" s="62"/>
      <c r="M89" s="62"/>
      <c r="N89" s="57">
        <f t="shared" si="28"/>
        <v>0</v>
      </c>
      <c r="O89" s="190"/>
      <c r="P89" s="57">
        <f t="shared" si="29"/>
        <v>0</v>
      </c>
      <c r="Q89" s="121"/>
      <c r="R89" s="57">
        <f t="shared" si="30"/>
        <v>0</v>
      </c>
      <c r="S89" s="121"/>
      <c r="T89" s="121"/>
      <c r="U89" s="57">
        <f t="shared" si="31"/>
        <v>0</v>
      </c>
      <c r="V89" s="121"/>
      <c r="W89" s="57">
        <f t="shared" si="32"/>
        <v>0</v>
      </c>
      <c r="X89" s="121"/>
    </row>
    <row r="90" spans="1:27" ht="16.5" thickBot="1">
      <c r="A90" s="111">
        <v>21</v>
      </c>
      <c r="B90" s="1" t="s">
        <v>102</v>
      </c>
      <c r="C90" s="518" t="s">
        <v>47</v>
      </c>
      <c r="D90" s="903">
        <f t="shared" si="24"/>
        <v>79</v>
      </c>
      <c r="E90" s="906">
        <v>0</v>
      </c>
      <c r="F90" s="930"/>
      <c r="G90" s="930"/>
      <c r="H90" s="926">
        <f t="shared" si="26"/>
        <v>79</v>
      </c>
      <c r="I90" s="615">
        <f>2+2+31+2+2+3+2+2+1+1+1+2+1+1+4+1+3+4+1+1+4+5+3</f>
        <v>79</v>
      </c>
      <c r="K90" s="903">
        <f t="shared" si="25"/>
        <v>0</v>
      </c>
      <c r="L90" s="62"/>
      <c r="M90" s="62"/>
      <c r="N90" s="57">
        <f t="shared" si="28"/>
        <v>0</v>
      </c>
      <c r="O90" s="200"/>
      <c r="P90" s="57">
        <f t="shared" si="29"/>
        <v>0</v>
      </c>
      <c r="Q90" s="53"/>
      <c r="R90" s="57">
        <f t="shared" si="30"/>
        <v>0</v>
      </c>
      <c r="S90" s="53"/>
      <c r="T90" s="53"/>
      <c r="U90" s="57">
        <f t="shared" si="31"/>
        <v>0</v>
      </c>
      <c r="V90" s="53"/>
      <c r="W90" s="57">
        <f t="shared" si="32"/>
        <v>0</v>
      </c>
      <c r="X90" s="53"/>
    </row>
    <row r="91" spans="1:27" ht="16.5" thickBot="1">
      <c r="A91" s="201"/>
      <c r="B91" s="2" t="s">
        <v>103</v>
      </c>
      <c r="C91" s="93" t="s">
        <v>21</v>
      </c>
      <c r="D91" s="903">
        <f t="shared" si="24"/>
        <v>43.868000000000009</v>
      </c>
      <c r="E91" s="906">
        <f>F91+G91</f>
        <v>0</v>
      </c>
      <c r="F91" s="930"/>
      <c r="G91" s="930"/>
      <c r="H91" s="926">
        <f t="shared" si="26"/>
        <v>43.868000000000009</v>
      </c>
      <c r="I91" s="615">
        <f>1.342+1.135+14.326+0.44+0.44+0.662+0.44+0.44+0.671+0.537+2.968+1.342+1.785+0.73+0.881+0.73+0.662+0.881+0.537+1.497+0.881+1.103+9.438</f>
        <v>43.868000000000009</v>
      </c>
      <c r="J91" s="197"/>
      <c r="K91" s="903">
        <f t="shared" si="25"/>
        <v>0</v>
      </c>
      <c r="L91" s="62"/>
      <c r="M91" s="62"/>
      <c r="N91" s="57">
        <f t="shared" si="28"/>
        <v>0</v>
      </c>
      <c r="O91" s="202"/>
      <c r="P91" s="57">
        <f t="shared" si="29"/>
        <v>0</v>
      </c>
      <c r="Q91" s="121"/>
      <c r="R91" s="57">
        <f t="shared" si="30"/>
        <v>0</v>
      </c>
      <c r="S91" s="121"/>
      <c r="T91" s="121"/>
      <c r="U91" s="57">
        <f t="shared" si="31"/>
        <v>0</v>
      </c>
      <c r="V91" s="121"/>
      <c r="W91" s="57">
        <f t="shared" si="32"/>
        <v>0</v>
      </c>
      <c r="X91" s="121"/>
    </row>
    <row r="92" spans="1:27" ht="16.5" thickBot="1">
      <c r="A92" s="115" t="s">
        <v>104</v>
      </c>
      <c r="B92" s="3" t="s">
        <v>105</v>
      </c>
      <c r="C92" s="523" t="s">
        <v>47</v>
      </c>
      <c r="D92" s="903">
        <f t="shared" si="24"/>
        <v>1</v>
      </c>
      <c r="E92" s="906">
        <f>F92+G92</f>
        <v>0</v>
      </c>
      <c r="F92" s="930"/>
      <c r="G92" s="930"/>
      <c r="H92" s="926">
        <f t="shared" si="26"/>
        <v>1</v>
      </c>
      <c r="I92" s="615">
        <f>1</f>
        <v>1</v>
      </c>
      <c r="J92" s="197"/>
      <c r="K92" s="903">
        <f t="shared" si="25"/>
        <v>0</v>
      </c>
      <c r="L92" s="62"/>
      <c r="M92" s="62"/>
      <c r="N92" s="57">
        <f t="shared" si="28"/>
        <v>0</v>
      </c>
      <c r="O92" s="122"/>
      <c r="P92" s="57">
        <f t="shared" si="29"/>
        <v>0</v>
      </c>
      <c r="Q92" s="123"/>
      <c r="R92" s="57">
        <f t="shared" si="30"/>
        <v>0</v>
      </c>
      <c r="S92" s="123"/>
      <c r="T92" s="123"/>
      <c r="U92" s="57">
        <f t="shared" si="31"/>
        <v>0</v>
      </c>
      <c r="V92" s="123"/>
      <c r="W92" s="57">
        <f t="shared" si="32"/>
        <v>0</v>
      </c>
      <c r="X92" s="123"/>
    </row>
    <row r="93" spans="1:27" ht="16.5" thickBot="1">
      <c r="A93" s="128"/>
      <c r="B93" s="4"/>
      <c r="C93" s="84" t="s">
        <v>21</v>
      </c>
      <c r="D93" s="903">
        <f t="shared" si="24"/>
        <v>0.73</v>
      </c>
      <c r="E93" s="906">
        <f>F93+G93</f>
        <v>0</v>
      </c>
      <c r="F93" s="930"/>
      <c r="G93" s="930"/>
      <c r="H93" s="926">
        <f t="shared" si="26"/>
        <v>0.73</v>
      </c>
      <c r="I93" s="615">
        <f>0.73</f>
        <v>0.73</v>
      </c>
      <c r="J93" s="197"/>
      <c r="K93" s="903">
        <f t="shared" si="25"/>
        <v>0</v>
      </c>
      <c r="L93" s="62"/>
      <c r="M93" s="62"/>
      <c r="N93" s="57">
        <f t="shared" si="28"/>
        <v>0</v>
      </c>
      <c r="O93" s="116"/>
      <c r="P93" s="57">
        <f t="shared" si="29"/>
        <v>0</v>
      </c>
      <c r="Q93" s="121"/>
      <c r="R93" s="57">
        <f t="shared" si="30"/>
        <v>0</v>
      </c>
      <c r="S93" s="121"/>
      <c r="T93" s="121"/>
      <c r="U93" s="57">
        <f t="shared" si="31"/>
        <v>0</v>
      </c>
      <c r="V93" s="121"/>
      <c r="W93" s="57">
        <f t="shared" si="32"/>
        <v>0</v>
      </c>
      <c r="X93" s="121"/>
    </row>
    <row r="94" spans="1:27" ht="38.25" customHeight="1" thickTop="1" thickBot="1">
      <c r="A94" s="532" t="s">
        <v>106</v>
      </c>
      <c r="B94" s="562" t="s">
        <v>107</v>
      </c>
      <c r="C94" s="532" t="s">
        <v>21</v>
      </c>
      <c r="D94" s="903">
        <f t="shared" si="24"/>
        <v>0</v>
      </c>
      <c r="E94" s="914">
        <f t="shared" ref="E94:X94" si="33">E95+E96</f>
        <v>0</v>
      </c>
      <c r="F94" s="914">
        <f t="shared" si="33"/>
        <v>0</v>
      </c>
      <c r="G94" s="914">
        <f t="shared" si="33"/>
        <v>0</v>
      </c>
      <c r="H94" s="926">
        <f t="shared" si="26"/>
        <v>0</v>
      </c>
      <c r="I94" s="563">
        <f t="shared" si="33"/>
        <v>0</v>
      </c>
      <c r="J94" s="563">
        <f t="shared" si="33"/>
        <v>0</v>
      </c>
      <c r="K94" s="903">
        <f t="shared" si="25"/>
        <v>0</v>
      </c>
      <c r="L94" s="563">
        <f t="shared" si="33"/>
        <v>0</v>
      </c>
      <c r="M94" s="563">
        <f t="shared" si="33"/>
        <v>0</v>
      </c>
      <c r="N94" s="973">
        <f t="shared" si="33"/>
        <v>0</v>
      </c>
      <c r="O94" s="563">
        <f t="shared" si="33"/>
        <v>0</v>
      </c>
      <c r="P94" s="563">
        <f t="shared" si="33"/>
        <v>0</v>
      </c>
      <c r="Q94" s="563">
        <f t="shared" si="33"/>
        <v>0</v>
      </c>
      <c r="R94" s="563">
        <f t="shared" si="33"/>
        <v>0</v>
      </c>
      <c r="S94" s="563">
        <f t="shared" si="33"/>
        <v>0</v>
      </c>
      <c r="T94" s="563">
        <f t="shared" si="33"/>
        <v>0</v>
      </c>
      <c r="U94" s="563">
        <f t="shared" si="33"/>
        <v>0</v>
      </c>
      <c r="V94" s="563">
        <f t="shared" si="33"/>
        <v>0</v>
      </c>
      <c r="W94" s="563">
        <f t="shared" si="33"/>
        <v>0</v>
      </c>
      <c r="X94" s="563">
        <f t="shared" si="33"/>
        <v>0</v>
      </c>
    </row>
    <row r="95" spans="1:27" ht="17.25" thickTop="1" thickBot="1">
      <c r="A95" s="76" t="s">
        <v>108</v>
      </c>
      <c r="B95" s="206" t="s">
        <v>194</v>
      </c>
      <c r="C95" s="533" t="s">
        <v>21</v>
      </c>
      <c r="D95" s="903">
        <f t="shared" si="24"/>
        <v>0</v>
      </c>
      <c r="E95" s="906">
        <f>F95+G95</f>
        <v>0</v>
      </c>
      <c r="F95" s="930"/>
      <c r="G95" s="930"/>
      <c r="H95" s="926">
        <f t="shared" si="26"/>
        <v>0</v>
      </c>
      <c r="I95" s="62"/>
      <c r="J95" s="62"/>
      <c r="K95" s="903">
        <f t="shared" si="25"/>
        <v>0</v>
      </c>
      <c r="L95" s="62"/>
      <c r="M95" s="62"/>
      <c r="N95" s="57">
        <f>O95</f>
        <v>0</v>
      </c>
      <c r="O95" s="122"/>
      <c r="P95" s="57">
        <f>Q95</f>
        <v>0</v>
      </c>
      <c r="Q95" s="79"/>
      <c r="R95" s="57">
        <f>S95+T95</f>
        <v>0</v>
      </c>
      <c r="S95" s="79"/>
      <c r="T95" s="79"/>
      <c r="U95" s="57">
        <f>V95</f>
        <v>0</v>
      </c>
      <c r="V95" s="79"/>
      <c r="W95" s="57">
        <f>X95</f>
        <v>0</v>
      </c>
      <c r="X95" s="79"/>
    </row>
    <row r="96" spans="1:27" ht="16.5" thickBot="1">
      <c r="A96" s="78" t="s">
        <v>109</v>
      </c>
      <c r="B96" s="206" t="s">
        <v>195</v>
      </c>
      <c r="C96" s="521" t="s">
        <v>21</v>
      </c>
      <c r="D96" s="903">
        <f t="shared" si="24"/>
        <v>0</v>
      </c>
      <c r="E96" s="906">
        <f>F96+G96</f>
        <v>0</v>
      </c>
      <c r="F96" s="930"/>
      <c r="G96" s="930"/>
      <c r="H96" s="926">
        <f t="shared" si="26"/>
        <v>0</v>
      </c>
      <c r="I96" s="62"/>
      <c r="J96" s="62"/>
      <c r="K96" s="903">
        <f t="shared" si="25"/>
        <v>0</v>
      </c>
      <c r="L96" s="62"/>
      <c r="M96" s="62"/>
      <c r="N96" s="57">
        <f>O96</f>
        <v>0</v>
      </c>
      <c r="O96" s="208"/>
      <c r="P96" s="57">
        <f>Q96</f>
        <v>0</v>
      </c>
      <c r="Q96" s="79"/>
      <c r="R96" s="57">
        <f>S96+T96</f>
        <v>0</v>
      </c>
      <c r="S96" s="79"/>
      <c r="T96" s="79"/>
      <c r="U96" s="57">
        <f>V96</f>
        <v>0</v>
      </c>
      <c r="V96" s="79"/>
      <c r="W96" s="57">
        <f>X96</f>
        <v>0</v>
      </c>
      <c r="X96" s="79"/>
    </row>
    <row r="97" spans="1:24" ht="16.5" thickBot="1">
      <c r="A97" s="78" t="s">
        <v>110</v>
      </c>
      <c r="B97" s="206" t="s">
        <v>111</v>
      </c>
      <c r="C97" s="521" t="s">
        <v>21</v>
      </c>
      <c r="D97" s="903">
        <f t="shared" si="24"/>
        <v>160.74100000000001</v>
      </c>
      <c r="E97" s="906">
        <f>F97+G97</f>
        <v>0</v>
      </c>
      <c r="F97" s="930"/>
      <c r="G97" s="930"/>
      <c r="H97" s="926">
        <f t="shared" si="26"/>
        <v>144.50200000000001</v>
      </c>
      <c r="I97" s="62">
        <f>8.419+0.809+0.405+0.405+0.809+0.809+0.809+0.609+0.609+1.214+1.631+1.763+0.405+0.405+0.405+0.405+63.608+0.405+0.405+0.822+1.012+1.215+1.834+1.621+3.799+3.001+30.702+7.91+0.861+7.396</f>
        <v>144.50200000000001</v>
      </c>
      <c r="J97" s="62"/>
      <c r="K97" s="903">
        <f t="shared" si="25"/>
        <v>16.239000000000001</v>
      </c>
      <c r="L97" s="62">
        <f>5.83+6.711+1.941+1.757</f>
        <v>16.239000000000001</v>
      </c>
      <c r="M97" s="62"/>
      <c r="N97" s="57">
        <f>O97</f>
        <v>0</v>
      </c>
      <c r="O97" s="208"/>
      <c r="P97" s="57">
        <f>Q97</f>
        <v>0</v>
      </c>
      <c r="Q97" s="79"/>
      <c r="R97" s="57">
        <f>S97+T97</f>
        <v>0</v>
      </c>
      <c r="S97" s="79"/>
      <c r="T97" s="79"/>
      <c r="U97" s="57">
        <f>V97</f>
        <v>0</v>
      </c>
      <c r="V97" s="79"/>
      <c r="W97" s="57">
        <f>X97</f>
        <v>0</v>
      </c>
      <c r="X97" s="79"/>
    </row>
    <row r="98" spans="1:24" ht="16.5" thickBot="1">
      <c r="A98" s="215"/>
      <c r="B98" s="216" t="s">
        <v>112</v>
      </c>
      <c r="C98" s="534" t="s">
        <v>21</v>
      </c>
      <c r="D98" s="959">
        <f>D13+D72+D87+D94+D97</f>
        <v>1692.1490000000001</v>
      </c>
      <c r="E98" s="959">
        <f t="shared" ref="E98:X98" si="34">E97+E94+E87+E72+E13</f>
        <v>0</v>
      </c>
      <c r="F98" s="959">
        <f t="shared" si="34"/>
        <v>0</v>
      </c>
      <c r="G98" s="959">
        <f t="shared" si="34"/>
        <v>0</v>
      </c>
      <c r="H98" s="959">
        <f t="shared" si="34"/>
        <v>1616.0570000000002</v>
      </c>
      <c r="I98" s="617">
        <f t="shared" si="34"/>
        <v>1616.0570000000002</v>
      </c>
      <c r="J98" s="617">
        <f t="shared" si="34"/>
        <v>0</v>
      </c>
      <c r="K98" s="962">
        <f t="shared" si="34"/>
        <v>76.091999999999999</v>
      </c>
      <c r="L98" s="616">
        <f t="shared" si="34"/>
        <v>76.091999999999999</v>
      </c>
      <c r="M98" s="616">
        <f t="shared" si="34"/>
        <v>0</v>
      </c>
      <c r="N98" s="218">
        <f t="shared" si="34"/>
        <v>0</v>
      </c>
      <c r="O98" s="218">
        <f t="shared" si="34"/>
        <v>0</v>
      </c>
      <c r="P98" s="218">
        <f t="shared" si="34"/>
        <v>0</v>
      </c>
      <c r="Q98" s="218">
        <f t="shared" si="34"/>
        <v>0</v>
      </c>
      <c r="R98" s="218">
        <f t="shared" si="34"/>
        <v>0</v>
      </c>
      <c r="S98" s="218">
        <f t="shared" si="34"/>
        <v>0</v>
      </c>
      <c r="T98" s="218">
        <f t="shared" si="34"/>
        <v>0</v>
      </c>
      <c r="U98" s="218">
        <f t="shared" si="34"/>
        <v>0</v>
      </c>
      <c r="V98" s="218">
        <f t="shared" si="34"/>
        <v>0</v>
      </c>
      <c r="W98" s="218">
        <f t="shared" si="34"/>
        <v>0</v>
      </c>
      <c r="X98" s="218">
        <f t="shared" si="34"/>
        <v>0</v>
      </c>
    </row>
    <row r="99" spans="1:24" s="26" customFormat="1" ht="13.5" thickTop="1">
      <c r="A99" s="24"/>
      <c r="B99" s="25"/>
      <c r="C99" s="25"/>
      <c r="D99" s="917">
        <v>80648.726999999999</v>
      </c>
      <c r="E99" s="917">
        <f>80648.727-D98</f>
        <v>78956.577999999994</v>
      </c>
      <c r="F99" s="917"/>
      <c r="G99" s="917"/>
      <c r="H99" s="917"/>
      <c r="I99" s="25"/>
      <c r="J99" s="25"/>
      <c r="K99" s="917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6" customFormat="1" ht="12.75">
      <c r="A100" s="27"/>
      <c r="B100" s="27"/>
      <c r="C100" s="27"/>
      <c r="D100" s="918">
        <f>I51</f>
        <v>41.158000000000001</v>
      </c>
      <c r="E100" s="919"/>
      <c r="F100" s="919"/>
      <c r="G100" s="919"/>
      <c r="H100" s="919"/>
      <c r="I100" s="27">
        <f>H97-I97</f>
        <v>0</v>
      </c>
      <c r="J100" s="27">
        <f>I97+E99</f>
        <v>79101.079999999987</v>
      </c>
      <c r="K100" s="919"/>
      <c r="L100" s="27"/>
      <c r="M100" s="27">
        <f>9567.184-K98</f>
        <v>9491.0919999999987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4" ht="36.75" customHeight="1" thickBot="1">
      <c r="A101" s="1719" t="s">
        <v>113</v>
      </c>
      <c r="B101" s="1719"/>
      <c r="C101" s="1719"/>
      <c r="D101" s="1719"/>
      <c r="E101" s="1719"/>
      <c r="F101" s="1719"/>
      <c r="G101" s="1719"/>
      <c r="H101" s="1719"/>
      <c r="I101" s="1719"/>
      <c r="J101" s="1719"/>
      <c r="K101" s="1719"/>
      <c r="L101" s="1719"/>
      <c r="M101" s="1719"/>
      <c r="N101" s="1719"/>
      <c r="O101" s="1719"/>
      <c r="P101" s="1719"/>
      <c r="Q101" s="1719"/>
      <c r="R101" s="1719"/>
      <c r="S101" s="1719"/>
      <c r="T101" s="1719"/>
      <c r="U101" s="220"/>
      <c r="V101" s="220"/>
      <c r="W101" s="220"/>
      <c r="X101" s="220"/>
    </row>
    <row r="102" spans="1:24" ht="15.75" thickBot="1">
      <c r="A102" s="115" t="s">
        <v>114</v>
      </c>
      <c r="B102" s="221" t="s">
        <v>115</v>
      </c>
      <c r="C102" s="115" t="s">
        <v>47</v>
      </c>
      <c r="D102" s="906">
        <f t="shared" ref="D102:D127" si="35">E102+H102+K102+N102+P102+R102+U102+W102</f>
        <v>0</v>
      </c>
      <c r="E102" s="906">
        <f t="shared" ref="E102:E127" si="36">F102+G102</f>
        <v>0</v>
      </c>
      <c r="F102" s="960"/>
      <c r="G102" s="960"/>
      <c r="H102" s="906">
        <f t="shared" ref="H102:H138" si="37">I102+J102</f>
        <v>0</v>
      </c>
      <c r="I102" s="122"/>
      <c r="J102" s="122"/>
      <c r="K102" s="906">
        <f t="shared" ref="K102:K138" si="38">L102+M102</f>
        <v>0</v>
      </c>
      <c r="L102" s="122"/>
      <c r="M102" s="122"/>
      <c r="N102" s="57">
        <f t="shared" ref="N102:N138" si="39">O102</f>
        <v>0</v>
      </c>
      <c r="O102" s="122"/>
      <c r="P102" s="57">
        <f t="shared" ref="P102:P138" si="40">Q102</f>
        <v>0</v>
      </c>
      <c r="Q102" s="189"/>
      <c r="R102" s="57">
        <f t="shared" ref="R102:R138" si="41">S102+T102</f>
        <v>0</v>
      </c>
      <c r="S102" s="136"/>
      <c r="T102" s="222"/>
      <c r="U102" s="57">
        <f t="shared" ref="U102:U138" si="42">V102</f>
        <v>0</v>
      </c>
      <c r="V102" s="136"/>
      <c r="W102" s="57">
        <f t="shared" ref="W102:W138" si="43">X102</f>
        <v>0</v>
      </c>
      <c r="X102" s="136"/>
    </row>
    <row r="103" spans="1:24" ht="15.75" thickBot="1">
      <c r="A103" s="71"/>
      <c r="B103" s="223" t="s">
        <v>116</v>
      </c>
      <c r="C103" s="71" t="s">
        <v>21</v>
      </c>
      <c r="D103" s="906">
        <f t="shared" si="35"/>
        <v>0</v>
      </c>
      <c r="E103" s="906">
        <f t="shared" si="36"/>
        <v>0</v>
      </c>
      <c r="F103" s="960"/>
      <c r="G103" s="960"/>
      <c r="H103" s="906">
        <f t="shared" si="37"/>
        <v>0</v>
      </c>
      <c r="I103" s="122"/>
      <c r="J103" s="122"/>
      <c r="K103" s="906">
        <f t="shared" si="38"/>
        <v>0</v>
      </c>
      <c r="L103" s="122"/>
      <c r="M103" s="122"/>
      <c r="N103" s="57">
        <f t="shared" si="39"/>
        <v>0</v>
      </c>
      <c r="O103" s="116"/>
      <c r="P103" s="57">
        <f t="shared" si="40"/>
        <v>0</v>
      </c>
      <c r="Q103" s="224"/>
      <c r="R103" s="57">
        <f t="shared" si="41"/>
        <v>0</v>
      </c>
      <c r="S103" s="143"/>
      <c r="T103" s="225"/>
      <c r="U103" s="57">
        <f t="shared" si="42"/>
        <v>0</v>
      </c>
      <c r="V103" s="226"/>
      <c r="W103" s="57">
        <f t="shared" si="43"/>
        <v>0</v>
      </c>
      <c r="X103" s="226"/>
    </row>
    <row r="104" spans="1:24" ht="15.75" thickBot="1">
      <c r="A104" s="115" t="s">
        <v>117</v>
      </c>
      <c r="B104" s="221" t="s">
        <v>118</v>
      </c>
      <c r="C104" s="115" t="s">
        <v>47</v>
      </c>
      <c r="D104" s="906">
        <f t="shared" si="35"/>
        <v>0</v>
      </c>
      <c r="E104" s="906">
        <f t="shared" si="36"/>
        <v>0</v>
      </c>
      <c r="F104" s="960"/>
      <c r="G104" s="960"/>
      <c r="H104" s="906">
        <f t="shared" si="37"/>
        <v>0</v>
      </c>
      <c r="I104" s="122"/>
      <c r="J104" s="122"/>
      <c r="K104" s="906">
        <f t="shared" si="38"/>
        <v>0</v>
      </c>
      <c r="L104" s="122"/>
      <c r="M104" s="122"/>
      <c r="N104" s="57">
        <f t="shared" si="39"/>
        <v>0</v>
      </c>
      <c r="O104" s="122"/>
      <c r="P104" s="57">
        <f t="shared" si="40"/>
        <v>0</v>
      </c>
      <c r="Q104" s="191"/>
      <c r="R104" s="57">
        <f t="shared" si="41"/>
        <v>0</v>
      </c>
      <c r="S104" s="54"/>
      <c r="T104" s="115"/>
      <c r="U104" s="57">
        <f t="shared" si="42"/>
        <v>0</v>
      </c>
      <c r="V104" s="123"/>
      <c r="W104" s="57">
        <f t="shared" si="43"/>
        <v>0</v>
      </c>
      <c r="X104" s="123"/>
    </row>
    <row r="105" spans="1:24" ht="15.75" thickBot="1">
      <c r="A105" s="119"/>
      <c r="B105" s="190"/>
      <c r="C105" s="119" t="s">
        <v>21</v>
      </c>
      <c r="D105" s="906">
        <f t="shared" si="35"/>
        <v>0</v>
      </c>
      <c r="E105" s="906">
        <f t="shared" si="36"/>
        <v>0</v>
      </c>
      <c r="F105" s="960"/>
      <c r="G105" s="960"/>
      <c r="H105" s="906">
        <f t="shared" si="37"/>
        <v>0</v>
      </c>
      <c r="I105" s="122"/>
      <c r="J105" s="122"/>
      <c r="K105" s="906">
        <f t="shared" si="38"/>
        <v>0</v>
      </c>
      <c r="L105" s="122"/>
      <c r="M105" s="122"/>
      <c r="N105" s="57">
        <f t="shared" si="39"/>
        <v>0</v>
      </c>
      <c r="O105" s="120"/>
      <c r="P105" s="57">
        <f t="shared" si="40"/>
        <v>0</v>
      </c>
      <c r="Q105" s="149"/>
      <c r="R105" s="57">
        <f t="shared" si="41"/>
        <v>0</v>
      </c>
      <c r="S105" s="143"/>
      <c r="T105" s="119"/>
      <c r="U105" s="57">
        <f t="shared" si="42"/>
        <v>0</v>
      </c>
      <c r="V105" s="121"/>
      <c r="W105" s="57">
        <f t="shared" si="43"/>
        <v>0</v>
      </c>
      <c r="X105" s="121"/>
    </row>
    <row r="106" spans="1:24" ht="15.75" thickBot="1">
      <c r="A106" s="115" t="s">
        <v>119</v>
      </c>
      <c r="B106" s="221" t="s">
        <v>120</v>
      </c>
      <c r="C106" s="115" t="s">
        <v>47</v>
      </c>
      <c r="D106" s="906">
        <f t="shared" si="35"/>
        <v>0</v>
      </c>
      <c r="E106" s="906">
        <f t="shared" si="36"/>
        <v>0</v>
      </c>
      <c r="F106" s="960"/>
      <c r="G106" s="960"/>
      <c r="H106" s="906">
        <f t="shared" si="37"/>
        <v>0</v>
      </c>
      <c r="I106" s="122"/>
      <c r="J106" s="122"/>
      <c r="K106" s="906">
        <f t="shared" si="38"/>
        <v>0</v>
      </c>
      <c r="L106" s="122"/>
      <c r="M106" s="122"/>
      <c r="N106" s="57">
        <f t="shared" si="39"/>
        <v>0</v>
      </c>
      <c r="O106" s="122"/>
      <c r="P106" s="57">
        <f t="shared" si="40"/>
        <v>0</v>
      </c>
      <c r="Q106" s="191"/>
      <c r="R106" s="57">
        <f t="shared" si="41"/>
        <v>0</v>
      </c>
      <c r="S106" s="136"/>
      <c r="T106" s="115"/>
      <c r="U106" s="57">
        <f t="shared" si="42"/>
        <v>0</v>
      </c>
      <c r="V106" s="123"/>
      <c r="W106" s="57">
        <f t="shared" si="43"/>
        <v>0</v>
      </c>
      <c r="X106" s="123"/>
    </row>
    <row r="107" spans="1:24" ht="15.75" thickBot="1">
      <c r="A107" s="119"/>
      <c r="B107" s="190"/>
      <c r="C107" s="119" t="s">
        <v>21</v>
      </c>
      <c r="D107" s="906">
        <f t="shared" si="35"/>
        <v>0</v>
      </c>
      <c r="E107" s="906">
        <f t="shared" si="36"/>
        <v>0</v>
      </c>
      <c r="F107" s="960"/>
      <c r="G107" s="960"/>
      <c r="H107" s="906">
        <f t="shared" si="37"/>
        <v>0</v>
      </c>
      <c r="I107" s="122"/>
      <c r="J107" s="122"/>
      <c r="K107" s="906">
        <f t="shared" si="38"/>
        <v>0</v>
      </c>
      <c r="L107" s="122"/>
      <c r="M107" s="122"/>
      <c r="N107" s="57">
        <f t="shared" si="39"/>
        <v>0</v>
      </c>
      <c r="O107" s="120"/>
      <c r="P107" s="57">
        <f t="shared" si="40"/>
        <v>0</v>
      </c>
      <c r="Q107" s="149"/>
      <c r="R107" s="57">
        <f t="shared" si="41"/>
        <v>0</v>
      </c>
      <c r="S107" s="143"/>
      <c r="T107" s="119"/>
      <c r="U107" s="57">
        <f t="shared" si="42"/>
        <v>0</v>
      </c>
      <c r="V107" s="121"/>
      <c r="W107" s="57">
        <f t="shared" si="43"/>
        <v>0</v>
      </c>
      <c r="X107" s="121"/>
    </row>
    <row r="108" spans="1:24" ht="15.75" thickBot="1">
      <c r="A108" s="52" t="s">
        <v>121</v>
      </c>
      <c r="B108" s="227" t="s">
        <v>122</v>
      </c>
      <c r="C108" s="52" t="s">
        <v>24</v>
      </c>
      <c r="D108" s="906">
        <f t="shared" si="35"/>
        <v>0</v>
      </c>
      <c r="E108" s="906">
        <f t="shared" si="36"/>
        <v>0</v>
      </c>
      <c r="F108" s="960"/>
      <c r="G108" s="960"/>
      <c r="H108" s="906">
        <f t="shared" si="37"/>
        <v>0</v>
      </c>
      <c r="I108" s="122"/>
      <c r="J108" s="122"/>
      <c r="K108" s="906">
        <f t="shared" si="38"/>
        <v>0</v>
      </c>
      <c r="L108" s="122"/>
      <c r="M108" s="122"/>
      <c r="N108" s="57">
        <f t="shared" si="39"/>
        <v>0</v>
      </c>
      <c r="O108" s="228"/>
      <c r="P108" s="57">
        <f t="shared" si="40"/>
        <v>0</v>
      </c>
      <c r="Q108" s="200"/>
      <c r="R108" s="57">
        <f t="shared" si="41"/>
        <v>0</v>
      </c>
      <c r="S108" s="54"/>
      <c r="T108" s="181"/>
      <c r="U108" s="57">
        <f t="shared" si="42"/>
        <v>0</v>
      </c>
      <c r="V108" s="54"/>
      <c r="W108" s="57">
        <f t="shared" si="43"/>
        <v>0</v>
      </c>
      <c r="X108" s="54"/>
    </row>
    <row r="109" spans="1:24" ht="15.75" thickBot="1">
      <c r="A109" s="119"/>
      <c r="B109" s="229" t="s">
        <v>123</v>
      </c>
      <c r="C109" s="119" t="s">
        <v>21</v>
      </c>
      <c r="D109" s="906">
        <f t="shared" si="35"/>
        <v>0</v>
      </c>
      <c r="E109" s="906">
        <f t="shared" si="36"/>
        <v>0</v>
      </c>
      <c r="F109" s="960"/>
      <c r="G109" s="960"/>
      <c r="H109" s="906">
        <f t="shared" si="37"/>
        <v>0</v>
      </c>
      <c r="I109" s="122"/>
      <c r="J109" s="122"/>
      <c r="K109" s="906">
        <f t="shared" si="38"/>
        <v>0</v>
      </c>
      <c r="L109" s="122"/>
      <c r="M109" s="122"/>
      <c r="N109" s="57">
        <f t="shared" si="39"/>
        <v>0</v>
      </c>
      <c r="O109" s="230"/>
      <c r="P109" s="57">
        <f t="shared" si="40"/>
        <v>0</v>
      </c>
      <c r="Q109" s="202"/>
      <c r="R109" s="57">
        <f t="shared" si="41"/>
        <v>0</v>
      </c>
      <c r="S109" s="231"/>
      <c r="T109" s="232"/>
      <c r="U109" s="57">
        <f t="shared" si="42"/>
        <v>0</v>
      </c>
      <c r="V109" s="231"/>
      <c r="W109" s="57">
        <f t="shared" si="43"/>
        <v>0</v>
      </c>
      <c r="X109" s="231"/>
    </row>
    <row r="110" spans="1:24" ht="15.75" thickBot="1">
      <c r="A110" s="52" t="s">
        <v>124</v>
      </c>
      <c r="B110" s="227" t="s">
        <v>125</v>
      </c>
      <c r="C110" s="52" t="s">
        <v>47</v>
      </c>
      <c r="D110" s="906">
        <f t="shared" si="35"/>
        <v>0</v>
      </c>
      <c r="E110" s="906">
        <f t="shared" si="36"/>
        <v>0</v>
      </c>
      <c r="F110" s="960"/>
      <c r="G110" s="960"/>
      <c r="H110" s="906">
        <f t="shared" si="37"/>
        <v>0</v>
      </c>
      <c r="I110" s="122"/>
      <c r="J110" s="122"/>
      <c r="K110" s="906">
        <f t="shared" si="38"/>
        <v>0</v>
      </c>
      <c r="L110" s="122"/>
      <c r="M110" s="122"/>
      <c r="N110" s="57">
        <f t="shared" si="39"/>
        <v>0</v>
      </c>
      <c r="O110" s="122"/>
      <c r="P110" s="57">
        <f t="shared" si="40"/>
        <v>0</v>
      </c>
      <c r="Q110" s="189"/>
      <c r="R110" s="57">
        <f t="shared" si="41"/>
        <v>0</v>
      </c>
      <c r="S110" s="136"/>
      <c r="T110" s="222"/>
      <c r="U110" s="57">
        <f t="shared" si="42"/>
        <v>0</v>
      </c>
      <c r="V110" s="136"/>
      <c r="W110" s="57">
        <f t="shared" si="43"/>
        <v>0</v>
      </c>
      <c r="X110" s="136"/>
    </row>
    <row r="111" spans="1:24" s="6" customFormat="1" ht="15.75" thickBot="1">
      <c r="A111" s="128"/>
      <c r="B111" s="233"/>
      <c r="C111" s="128" t="s">
        <v>21</v>
      </c>
      <c r="D111" s="906">
        <f t="shared" si="35"/>
        <v>0</v>
      </c>
      <c r="E111" s="906">
        <f t="shared" si="36"/>
        <v>0</v>
      </c>
      <c r="F111" s="960"/>
      <c r="G111" s="960"/>
      <c r="H111" s="906">
        <f t="shared" si="37"/>
        <v>0</v>
      </c>
      <c r="I111" s="122"/>
      <c r="J111" s="122"/>
      <c r="K111" s="906">
        <f t="shared" si="38"/>
        <v>0</v>
      </c>
      <c r="L111" s="122"/>
      <c r="M111" s="122"/>
      <c r="N111" s="57">
        <f t="shared" si="39"/>
        <v>0</v>
      </c>
      <c r="O111" s="230"/>
      <c r="P111" s="57">
        <f t="shared" si="40"/>
        <v>0</v>
      </c>
      <c r="Q111" s="202"/>
      <c r="R111" s="57">
        <f t="shared" si="41"/>
        <v>0</v>
      </c>
      <c r="S111" s="231"/>
      <c r="T111" s="232"/>
      <c r="U111" s="57">
        <f t="shared" si="42"/>
        <v>0</v>
      </c>
      <c r="V111" s="231"/>
      <c r="W111" s="57">
        <f t="shared" si="43"/>
        <v>0</v>
      </c>
      <c r="X111" s="231"/>
    </row>
    <row r="112" spans="1:24" s="6" customFormat="1" ht="16.5" thickBot="1">
      <c r="A112" s="115" t="s">
        <v>126</v>
      </c>
      <c r="B112" s="3" t="s">
        <v>127</v>
      </c>
      <c r="C112" s="115" t="s">
        <v>51</v>
      </c>
      <c r="D112" s="906">
        <f t="shared" si="35"/>
        <v>0</v>
      </c>
      <c r="E112" s="906">
        <f t="shared" si="36"/>
        <v>0</v>
      </c>
      <c r="F112" s="960"/>
      <c r="G112" s="960"/>
      <c r="H112" s="906">
        <f t="shared" si="37"/>
        <v>0</v>
      </c>
      <c r="I112" s="122"/>
      <c r="J112" s="122"/>
      <c r="K112" s="906">
        <f t="shared" si="38"/>
        <v>0</v>
      </c>
      <c r="L112" s="122"/>
      <c r="M112" s="122"/>
      <c r="N112" s="57">
        <f t="shared" si="39"/>
        <v>0</v>
      </c>
      <c r="O112" s="122"/>
      <c r="P112" s="57">
        <f t="shared" si="40"/>
        <v>0</v>
      </c>
      <c r="Q112" s="189"/>
      <c r="R112" s="57">
        <f t="shared" si="41"/>
        <v>0</v>
      </c>
      <c r="S112" s="136"/>
      <c r="T112" s="222"/>
      <c r="U112" s="57">
        <f t="shared" si="42"/>
        <v>0</v>
      </c>
      <c r="V112" s="136"/>
      <c r="W112" s="57">
        <f t="shared" si="43"/>
        <v>0</v>
      </c>
      <c r="X112" s="136"/>
    </row>
    <row r="113" spans="1:24" s="6" customFormat="1" ht="16.5" thickBot="1">
      <c r="A113" s="119"/>
      <c r="B113" s="199"/>
      <c r="C113" s="119" t="s">
        <v>128</v>
      </c>
      <c r="D113" s="906">
        <f t="shared" si="35"/>
        <v>0</v>
      </c>
      <c r="E113" s="906">
        <f t="shared" si="36"/>
        <v>0</v>
      </c>
      <c r="F113" s="960"/>
      <c r="G113" s="960"/>
      <c r="H113" s="906">
        <f t="shared" si="37"/>
        <v>0</v>
      </c>
      <c r="I113" s="122"/>
      <c r="J113" s="122"/>
      <c r="K113" s="906">
        <f t="shared" si="38"/>
        <v>0</v>
      </c>
      <c r="L113" s="122"/>
      <c r="M113" s="122"/>
      <c r="N113" s="57">
        <f t="shared" si="39"/>
        <v>0</v>
      </c>
      <c r="O113" s="120"/>
      <c r="P113" s="57">
        <f t="shared" si="40"/>
        <v>0</v>
      </c>
      <c r="Q113" s="190"/>
      <c r="R113" s="57">
        <f t="shared" si="41"/>
        <v>0</v>
      </c>
      <c r="S113" s="143"/>
      <c r="T113" s="187"/>
      <c r="U113" s="57">
        <f t="shared" si="42"/>
        <v>0</v>
      </c>
      <c r="V113" s="143"/>
      <c r="W113" s="57">
        <f t="shared" si="43"/>
        <v>0</v>
      </c>
      <c r="X113" s="143"/>
    </row>
    <row r="114" spans="1:24" s="6" customFormat="1" ht="16.5" thickBot="1">
      <c r="A114" s="234">
        <v>7</v>
      </c>
      <c r="B114" s="51" t="s">
        <v>129</v>
      </c>
      <c r="C114" s="52" t="s">
        <v>130</v>
      </c>
      <c r="D114" s="906">
        <f t="shared" si="35"/>
        <v>0</v>
      </c>
      <c r="E114" s="906">
        <f t="shared" si="36"/>
        <v>0</v>
      </c>
      <c r="F114" s="960"/>
      <c r="G114" s="960"/>
      <c r="H114" s="906">
        <f t="shared" si="37"/>
        <v>0</v>
      </c>
      <c r="I114" s="122"/>
      <c r="J114" s="122"/>
      <c r="K114" s="906">
        <f t="shared" si="38"/>
        <v>0</v>
      </c>
      <c r="L114" s="122"/>
      <c r="M114" s="122"/>
      <c r="N114" s="57">
        <f t="shared" si="39"/>
        <v>0</v>
      </c>
      <c r="O114" s="228"/>
      <c r="P114" s="57">
        <f t="shared" si="40"/>
        <v>0</v>
      </c>
      <c r="Q114" s="200"/>
      <c r="R114" s="57">
        <f t="shared" si="41"/>
        <v>0</v>
      </c>
      <c r="S114" s="54"/>
      <c r="T114" s="181"/>
      <c r="U114" s="57">
        <f t="shared" si="42"/>
        <v>0</v>
      </c>
      <c r="V114" s="54"/>
      <c r="W114" s="57">
        <f t="shared" si="43"/>
        <v>0</v>
      </c>
      <c r="X114" s="54"/>
    </row>
    <row r="115" spans="1:24" s="6" customFormat="1" ht="16.5" thickBot="1">
      <c r="A115" s="119"/>
      <c r="B115" s="235"/>
      <c r="C115" s="119" t="s">
        <v>21</v>
      </c>
      <c r="D115" s="906">
        <f t="shared" si="35"/>
        <v>0</v>
      </c>
      <c r="E115" s="906">
        <f t="shared" si="36"/>
        <v>0</v>
      </c>
      <c r="F115" s="960"/>
      <c r="G115" s="960"/>
      <c r="H115" s="906">
        <f t="shared" si="37"/>
        <v>0</v>
      </c>
      <c r="I115" s="122"/>
      <c r="J115" s="122"/>
      <c r="K115" s="906">
        <f t="shared" si="38"/>
        <v>0</v>
      </c>
      <c r="L115" s="122"/>
      <c r="M115" s="122"/>
      <c r="N115" s="57">
        <f t="shared" si="39"/>
        <v>0</v>
      </c>
      <c r="O115" s="230"/>
      <c r="P115" s="57">
        <f t="shared" si="40"/>
        <v>0</v>
      </c>
      <c r="Q115" s="202"/>
      <c r="R115" s="57">
        <f t="shared" si="41"/>
        <v>0</v>
      </c>
      <c r="S115" s="231"/>
      <c r="T115" s="232"/>
      <c r="U115" s="57">
        <f t="shared" si="42"/>
        <v>0</v>
      </c>
      <c r="V115" s="231"/>
      <c r="W115" s="57">
        <f t="shared" si="43"/>
        <v>0</v>
      </c>
      <c r="X115" s="231"/>
    </row>
    <row r="116" spans="1:24" s="10" customFormat="1" ht="16.5" thickBot="1">
      <c r="A116" s="236">
        <v>8</v>
      </c>
      <c r="B116" s="3" t="s">
        <v>131</v>
      </c>
      <c r="C116" s="115" t="s">
        <v>47</v>
      </c>
      <c r="D116" s="906">
        <f t="shared" si="35"/>
        <v>0</v>
      </c>
      <c r="E116" s="906">
        <f t="shared" si="36"/>
        <v>0</v>
      </c>
      <c r="F116" s="960"/>
      <c r="G116" s="960"/>
      <c r="H116" s="906">
        <f t="shared" si="37"/>
        <v>0</v>
      </c>
      <c r="I116" s="122"/>
      <c r="J116" s="122"/>
      <c r="K116" s="906">
        <f t="shared" si="38"/>
        <v>0</v>
      </c>
      <c r="L116" s="122"/>
      <c r="M116" s="122"/>
      <c r="N116" s="57">
        <f t="shared" si="39"/>
        <v>0</v>
      </c>
      <c r="O116" s="122"/>
      <c r="P116" s="57">
        <f t="shared" si="40"/>
        <v>0</v>
      </c>
      <c r="Q116" s="189"/>
      <c r="R116" s="57">
        <f t="shared" si="41"/>
        <v>0</v>
      </c>
      <c r="S116" s="136"/>
      <c r="T116" s="222"/>
      <c r="U116" s="57">
        <f t="shared" si="42"/>
        <v>0</v>
      </c>
      <c r="V116" s="136"/>
      <c r="W116" s="57">
        <f t="shared" si="43"/>
        <v>0</v>
      </c>
      <c r="X116" s="136"/>
    </row>
    <row r="117" spans="1:24" s="10" customFormat="1" ht="16.5" thickBot="1">
      <c r="A117" s="237"/>
      <c r="B117" s="199" t="s">
        <v>132</v>
      </c>
      <c r="C117" s="119" t="s">
        <v>21</v>
      </c>
      <c r="D117" s="906">
        <f t="shared" si="35"/>
        <v>0</v>
      </c>
      <c r="E117" s="906">
        <f t="shared" si="36"/>
        <v>0</v>
      </c>
      <c r="F117" s="960"/>
      <c r="G117" s="960"/>
      <c r="H117" s="906">
        <f t="shared" si="37"/>
        <v>0</v>
      </c>
      <c r="I117" s="122"/>
      <c r="J117" s="122"/>
      <c r="K117" s="906">
        <f t="shared" si="38"/>
        <v>0</v>
      </c>
      <c r="L117" s="122"/>
      <c r="M117" s="122"/>
      <c r="N117" s="57">
        <f t="shared" si="39"/>
        <v>0</v>
      </c>
      <c r="O117" s="230"/>
      <c r="P117" s="57">
        <f t="shared" si="40"/>
        <v>0</v>
      </c>
      <c r="Q117" s="202"/>
      <c r="R117" s="57">
        <f t="shared" si="41"/>
        <v>0</v>
      </c>
      <c r="S117" s="231"/>
      <c r="T117" s="232"/>
      <c r="U117" s="57">
        <f t="shared" si="42"/>
        <v>0</v>
      </c>
      <c r="V117" s="231"/>
      <c r="W117" s="57">
        <f t="shared" si="43"/>
        <v>0</v>
      </c>
      <c r="X117" s="231"/>
    </row>
    <row r="118" spans="1:24" s="6" customFormat="1" ht="16.5" thickBot="1">
      <c r="A118" s="236">
        <v>9</v>
      </c>
      <c r="B118" s="3" t="s">
        <v>133</v>
      </c>
      <c r="C118" s="115" t="s">
        <v>134</v>
      </c>
      <c r="D118" s="906">
        <f t="shared" si="35"/>
        <v>0</v>
      </c>
      <c r="E118" s="906">
        <f t="shared" si="36"/>
        <v>0</v>
      </c>
      <c r="F118" s="960"/>
      <c r="G118" s="960"/>
      <c r="H118" s="906">
        <f t="shared" si="37"/>
        <v>0</v>
      </c>
      <c r="I118" s="122"/>
      <c r="J118" s="122"/>
      <c r="K118" s="906">
        <f t="shared" si="38"/>
        <v>0</v>
      </c>
      <c r="L118" s="122"/>
      <c r="M118" s="122"/>
      <c r="N118" s="57">
        <f t="shared" si="39"/>
        <v>0</v>
      </c>
      <c r="O118" s="122"/>
      <c r="P118" s="57">
        <f t="shared" si="40"/>
        <v>0</v>
      </c>
      <c r="Q118" s="189"/>
      <c r="R118" s="57">
        <f t="shared" si="41"/>
        <v>0</v>
      </c>
      <c r="S118" s="136"/>
      <c r="T118" s="222"/>
      <c r="U118" s="57">
        <f t="shared" si="42"/>
        <v>0</v>
      </c>
      <c r="V118" s="136"/>
      <c r="W118" s="57">
        <f t="shared" si="43"/>
        <v>0</v>
      </c>
      <c r="X118" s="136"/>
    </row>
    <row r="119" spans="1:24" s="6" customFormat="1" ht="16.5" thickBot="1">
      <c r="A119" s="119"/>
      <c r="B119" s="199" t="s">
        <v>135</v>
      </c>
      <c r="C119" s="119" t="s">
        <v>21</v>
      </c>
      <c r="D119" s="906">
        <f t="shared" si="35"/>
        <v>0</v>
      </c>
      <c r="E119" s="906">
        <f t="shared" si="36"/>
        <v>0</v>
      </c>
      <c r="F119" s="960"/>
      <c r="G119" s="960"/>
      <c r="H119" s="906">
        <f t="shared" si="37"/>
        <v>0</v>
      </c>
      <c r="I119" s="122"/>
      <c r="J119" s="122"/>
      <c r="K119" s="906">
        <f t="shared" si="38"/>
        <v>0</v>
      </c>
      <c r="L119" s="122"/>
      <c r="M119" s="122"/>
      <c r="N119" s="57">
        <f t="shared" si="39"/>
        <v>0</v>
      </c>
      <c r="O119" s="230"/>
      <c r="P119" s="57">
        <f t="shared" si="40"/>
        <v>0</v>
      </c>
      <c r="Q119" s="202"/>
      <c r="R119" s="57">
        <f t="shared" si="41"/>
        <v>0</v>
      </c>
      <c r="S119" s="231"/>
      <c r="T119" s="232"/>
      <c r="U119" s="57">
        <f t="shared" si="42"/>
        <v>0</v>
      </c>
      <c r="V119" s="231"/>
      <c r="W119" s="57">
        <f t="shared" si="43"/>
        <v>0</v>
      </c>
      <c r="X119" s="231"/>
    </row>
    <row r="120" spans="1:24" s="6" customFormat="1" ht="16.5" thickBot="1">
      <c r="A120" s="115" t="s">
        <v>136</v>
      </c>
      <c r="B120" s="188" t="s">
        <v>137</v>
      </c>
      <c r="C120" s="189" t="s">
        <v>21</v>
      </c>
      <c r="D120" s="906">
        <f t="shared" si="35"/>
        <v>0</v>
      </c>
      <c r="E120" s="906">
        <f t="shared" si="36"/>
        <v>0</v>
      </c>
      <c r="F120" s="960"/>
      <c r="G120" s="960"/>
      <c r="H120" s="906">
        <f t="shared" si="37"/>
        <v>0</v>
      </c>
      <c r="I120" s="122">
        <v>0</v>
      </c>
      <c r="J120" s="122"/>
      <c r="K120" s="906">
        <f t="shared" si="38"/>
        <v>0</v>
      </c>
      <c r="L120" s="122"/>
      <c r="M120" s="122"/>
      <c r="N120" s="57">
        <f t="shared" si="39"/>
        <v>0</v>
      </c>
      <c r="O120" s="122"/>
      <c r="P120" s="57">
        <f t="shared" si="40"/>
        <v>0</v>
      </c>
      <c r="Q120" s="238"/>
      <c r="R120" s="57">
        <f t="shared" si="41"/>
        <v>0</v>
      </c>
      <c r="S120" s="136"/>
      <c r="T120" s="239"/>
      <c r="U120" s="57">
        <f t="shared" si="42"/>
        <v>0</v>
      </c>
      <c r="V120" s="123"/>
      <c r="W120" s="57">
        <f t="shared" si="43"/>
        <v>0</v>
      </c>
      <c r="X120" s="123"/>
    </row>
    <row r="121" spans="1:24" s="6" customFormat="1" ht="16.5" thickBot="1">
      <c r="A121" s="56" t="s">
        <v>138</v>
      </c>
      <c r="B121" s="240" t="s">
        <v>139</v>
      </c>
      <c r="C121" s="52" t="s">
        <v>21</v>
      </c>
      <c r="D121" s="906">
        <f t="shared" si="35"/>
        <v>0</v>
      </c>
      <c r="E121" s="906">
        <f t="shared" si="36"/>
        <v>0</v>
      </c>
      <c r="F121" s="960"/>
      <c r="G121" s="960"/>
      <c r="H121" s="906">
        <f t="shared" si="37"/>
        <v>0</v>
      </c>
      <c r="I121" s="122"/>
      <c r="J121" s="122"/>
      <c r="K121" s="906">
        <f t="shared" si="38"/>
        <v>0</v>
      </c>
      <c r="L121" s="122"/>
      <c r="M121" s="122"/>
      <c r="N121" s="57">
        <f t="shared" si="39"/>
        <v>0</v>
      </c>
      <c r="O121" s="228"/>
      <c r="P121" s="57">
        <f t="shared" si="40"/>
        <v>0</v>
      </c>
      <c r="Q121" s="241"/>
      <c r="R121" s="57">
        <f t="shared" si="41"/>
        <v>0</v>
      </c>
      <c r="S121" s="54"/>
      <c r="T121" s="228"/>
      <c r="U121" s="57">
        <f t="shared" si="42"/>
        <v>0</v>
      </c>
      <c r="V121" s="53"/>
      <c r="W121" s="57">
        <f t="shared" si="43"/>
        <v>0</v>
      </c>
      <c r="X121" s="53"/>
    </row>
    <row r="122" spans="1:24" s="6" customFormat="1" ht="16.5" thickBot="1">
      <c r="A122" s="242" t="s">
        <v>140</v>
      </c>
      <c r="B122" s="243" t="s">
        <v>141</v>
      </c>
      <c r="C122" s="242" t="s">
        <v>21</v>
      </c>
      <c r="D122" s="906">
        <f t="shared" si="35"/>
        <v>0</v>
      </c>
      <c r="E122" s="906">
        <f t="shared" si="36"/>
        <v>0</v>
      </c>
      <c r="F122" s="960"/>
      <c r="G122" s="960"/>
      <c r="H122" s="906">
        <f t="shared" si="37"/>
        <v>0</v>
      </c>
      <c r="I122" s="122"/>
      <c r="J122" s="122"/>
      <c r="K122" s="906">
        <f t="shared" si="38"/>
        <v>0</v>
      </c>
      <c r="L122" s="122"/>
      <c r="M122" s="122"/>
      <c r="N122" s="57">
        <f t="shared" si="39"/>
        <v>0</v>
      </c>
      <c r="O122" s="137"/>
      <c r="P122" s="57">
        <f t="shared" si="40"/>
        <v>0</v>
      </c>
      <c r="Q122" s="145"/>
      <c r="R122" s="57">
        <f t="shared" si="41"/>
        <v>0</v>
      </c>
      <c r="S122" s="161"/>
      <c r="T122" s="137"/>
      <c r="U122" s="57">
        <f t="shared" si="42"/>
        <v>0</v>
      </c>
      <c r="V122" s="138"/>
      <c r="W122" s="57">
        <f t="shared" si="43"/>
        <v>0</v>
      </c>
      <c r="X122" s="138"/>
    </row>
    <row r="123" spans="1:24" s="6" customFormat="1" ht="16.5" thickBot="1">
      <c r="A123" s="78" t="s">
        <v>142</v>
      </c>
      <c r="B123" s="244" t="s">
        <v>143</v>
      </c>
      <c r="C123" s="78" t="s">
        <v>21</v>
      </c>
      <c r="D123" s="906">
        <f t="shared" si="35"/>
        <v>0</v>
      </c>
      <c r="E123" s="906">
        <f t="shared" si="36"/>
        <v>0</v>
      </c>
      <c r="F123" s="960"/>
      <c r="G123" s="960"/>
      <c r="H123" s="906">
        <f t="shared" si="37"/>
        <v>0</v>
      </c>
      <c r="I123" s="122"/>
      <c r="J123" s="122"/>
      <c r="K123" s="906">
        <f t="shared" si="38"/>
        <v>0</v>
      </c>
      <c r="L123" s="122"/>
      <c r="M123" s="122"/>
      <c r="N123" s="57">
        <f t="shared" si="39"/>
        <v>0</v>
      </c>
      <c r="O123" s="208"/>
      <c r="P123" s="57">
        <f t="shared" si="40"/>
        <v>0</v>
      </c>
      <c r="Q123" s="245"/>
      <c r="R123" s="57">
        <f t="shared" si="41"/>
        <v>0</v>
      </c>
      <c r="S123" s="246"/>
      <c r="T123" s="208"/>
      <c r="U123" s="57">
        <f t="shared" si="42"/>
        <v>0</v>
      </c>
      <c r="V123" s="79"/>
      <c r="W123" s="57">
        <f t="shared" si="43"/>
        <v>0</v>
      </c>
      <c r="X123" s="79"/>
    </row>
    <row r="124" spans="1:24" s="6" customFormat="1" ht="16.5" thickBot="1">
      <c r="A124" s="131">
        <v>13</v>
      </c>
      <c r="B124" s="243" t="s">
        <v>144</v>
      </c>
      <c r="C124" s="242" t="s">
        <v>21</v>
      </c>
      <c r="D124" s="906">
        <f t="shared" si="35"/>
        <v>0</v>
      </c>
      <c r="E124" s="906">
        <f t="shared" si="36"/>
        <v>0</v>
      </c>
      <c r="F124" s="960"/>
      <c r="G124" s="960"/>
      <c r="H124" s="906">
        <f t="shared" si="37"/>
        <v>0</v>
      </c>
      <c r="I124" s="122"/>
      <c r="J124" s="122"/>
      <c r="K124" s="906">
        <f t="shared" si="38"/>
        <v>0</v>
      </c>
      <c r="L124" s="122"/>
      <c r="M124" s="122"/>
      <c r="N124" s="57">
        <f t="shared" si="39"/>
        <v>0</v>
      </c>
      <c r="O124" s="137"/>
      <c r="P124" s="57">
        <f t="shared" si="40"/>
        <v>0</v>
      </c>
      <c r="Q124" s="145"/>
      <c r="R124" s="57">
        <f t="shared" si="41"/>
        <v>0</v>
      </c>
      <c r="S124" s="161"/>
      <c r="T124" s="137"/>
      <c r="U124" s="57">
        <f t="shared" si="42"/>
        <v>0</v>
      </c>
      <c r="V124" s="138"/>
      <c r="W124" s="57">
        <f t="shared" si="43"/>
        <v>0</v>
      </c>
      <c r="X124" s="138"/>
    </row>
    <row r="125" spans="1:24" s="6" customFormat="1" ht="16.5" thickBot="1">
      <c r="A125" s="131">
        <v>14</v>
      </c>
      <c r="B125" s="247" t="s">
        <v>145</v>
      </c>
      <c r="C125" s="242" t="s">
        <v>21</v>
      </c>
      <c r="D125" s="906">
        <f t="shared" si="35"/>
        <v>0</v>
      </c>
      <c r="E125" s="906">
        <f t="shared" si="36"/>
        <v>0</v>
      </c>
      <c r="F125" s="960"/>
      <c r="G125" s="960"/>
      <c r="H125" s="906">
        <f t="shared" si="37"/>
        <v>0</v>
      </c>
      <c r="I125" s="122">
        <v>0</v>
      </c>
      <c r="J125" s="122"/>
      <c r="K125" s="906">
        <f t="shared" si="38"/>
        <v>0</v>
      </c>
      <c r="L125" s="122"/>
      <c r="M125" s="122"/>
      <c r="N125" s="57">
        <f t="shared" si="39"/>
        <v>0</v>
      </c>
      <c r="O125" s="137"/>
      <c r="P125" s="57">
        <f t="shared" si="40"/>
        <v>0</v>
      </c>
      <c r="Q125" s="145"/>
      <c r="R125" s="57">
        <f t="shared" si="41"/>
        <v>0</v>
      </c>
      <c r="S125" s="161"/>
      <c r="T125" s="137"/>
      <c r="U125" s="57">
        <f t="shared" si="42"/>
        <v>0</v>
      </c>
      <c r="V125" s="138"/>
      <c r="W125" s="57">
        <f t="shared" si="43"/>
        <v>0</v>
      </c>
      <c r="X125" s="138"/>
    </row>
    <row r="126" spans="1:24" s="6" customFormat="1" ht="16.5" thickBot="1">
      <c r="A126" s="78" t="s">
        <v>146</v>
      </c>
      <c r="B126" s="244" t="s">
        <v>147</v>
      </c>
      <c r="C126" s="78" t="s">
        <v>21</v>
      </c>
      <c r="D126" s="906">
        <f t="shared" si="35"/>
        <v>0</v>
      </c>
      <c r="E126" s="906">
        <f t="shared" si="36"/>
        <v>0</v>
      </c>
      <c r="F126" s="960"/>
      <c r="G126" s="960"/>
      <c r="H126" s="906">
        <f t="shared" si="37"/>
        <v>0</v>
      </c>
      <c r="I126" s="122">
        <v>0</v>
      </c>
      <c r="J126" s="122"/>
      <c r="K126" s="906">
        <f t="shared" si="38"/>
        <v>0</v>
      </c>
      <c r="L126" s="122"/>
      <c r="M126" s="122"/>
      <c r="N126" s="57">
        <f t="shared" si="39"/>
        <v>0</v>
      </c>
      <c r="O126" s="208"/>
      <c r="P126" s="57">
        <f t="shared" si="40"/>
        <v>0</v>
      </c>
      <c r="Q126" s="245"/>
      <c r="R126" s="57">
        <f t="shared" si="41"/>
        <v>0</v>
      </c>
      <c r="S126" s="246"/>
      <c r="T126" s="208"/>
      <c r="U126" s="57">
        <f t="shared" si="42"/>
        <v>0</v>
      </c>
      <c r="V126" s="79"/>
      <c r="W126" s="57">
        <f t="shared" si="43"/>
        <v>0</v>
      </c>
      <c r="X126" s="79"/>
    </row>
    <row r="127" spans="1:24" ht="15.75">
      <c r="A127" s="236">
        <v>16</v>
      </c>
      <c r="B127" s="3" t="s">
        <v>148</v>
      </c>
      <c r="C127" s="115" t="s">
        <v>21</v>
      </c>
      <c r="D127" s="906">
        <f t="shared" si="35"/>
        <v>0</v>
      </c>
      <c r="E127" s="906">
        <f t="shared" si="36"/>
        <v>0</v>
      </c>
      <c r="F127" s="960"/>
      <c r="G127" s="960"/>
      <c r="H127" s="906">
        <f t="shared" si="37"/>
        <v>0</v>
      </c>
      <c r="I127" s="122">
        <v>0</v>
      </c>
      <c r="J127" s="122"/>
      <c r="K127" s="906">
        <f t="shared" si="38"/>
        <v>0</v>
      </c>
      <c r="L127" s="122"/>
      <c r="M127" s="122"/>
      <c r="N127" s="57">
        <f t="shared" si="39"/>
        <v>0</v>
      </c>
      <c r="O127" s="123"/>
      <c r="P127" s="57">
        <f t="shared" si="40"/>
        <v>0</v>
      </c>
      <c r="Q127" s="248"/>
      <c r="R127" s="57">
        <f t="shared" si="41"/>
        <v>0</v>
      </c>
      <c r="S127" s="136"/>
      <c r="T127" s="123"/>
      <c r="U127" s="57">
        <f t="shared" si="42"/>
        <v>0</v>
      </c>
      <c r="V127" s="123"/>
      <c r="W127" s="57">
        <f t="shared" si="43"/>
        <v>0</v>
      </c>
      <c r="X127" s="123"/>
    </row>
    <row r="128" spans="1:24" ht="16.5" thickBot="1">
      <c r="A128" s="56" t="s">
        <v>149</v>
      </c>
      <c r="B128" s="55" t="s">
        <v>150</v>
      </c>
      <c r="C128" s="56" t="s">
        <v>128</v>
      </c>
      <c r="D128" s="906">
        <f>D130+D132+D134+D136</f>
        <v>0</v>
      </c>
      <c r="E128" s="906">
        <f>E130+E132+E134+E136</f>
        <v>0</v>
      </c>
      <c r="F128" s="906">
        <f>F130+F132+F134+F136</f>
        <v>0</v>
      </c>
      <c r="G128" s="906">
        <f>G130+G132+G134+G136</f>
        <v>0</v>
      </c>
      <c r="H128" s="906">
        <f t="shared" si="37"/>
        <v>0</v>
      </c>
      <c r="I128" s="57">
        <f>I130+I132+I134+I136</f>
        <v>0</v>
      </c>
      <c r="J128" s="57">
        <f>J130+J132+J134+J136</f>
        <v>0</v>
      </c>
      <c r="K128" s="906">
        <f t="shared" si="38"/>
        <v>0</v>
      </c>
      <c r="L128" s="57">
        <f>L130+L132+L134+L136</f>
        <v>0</v>
      </c>
      <c r="M128" s="57">
        <f>M130+M132+M134+M136</f>
        <v>0</v>
      </c>
      <c r="N128" s="57">
        <f t="shared" si="39"/>
        <v>0</v>
      </c>
      <c r="O128" s="57">
        <f>O130+O132+O134+O136</f>
        <v>0</v>
      </c>
      <c r="P128" s="57">
        <f t="shared" si="40"/>
        <v>0</v>
      </c>
      <c r="Q128" s="57">
        <f>Q130+Q132+Q134+Q136</f>
        <v>0</v>
      </c>
      <c r="R128" s="57">
        <f t="shared" si="41"/>
        <v>0</v>
      </c>
      <c r="S128" s="57">
        <f>S130+S132+S134+S136</f>
        <v>0</v>
      </c>
      <c r="T128" s="57">
        <f>T130+T132+T134+T136</f>
        <v>0</v>
      </c>
      <c r="U128" s="57">
        <f t="shared" si="42"/>
        <v>0</v>
      </c>
      <c r="V128" s="57">
        <f>V130+V132+V134+V136</f>
        <v>0</v>
      </c>
      <c r="W128" s="57">
        <f t="shared" si="43"/>
        <v>0</v>
      </c>
      <c r="X128" s="57">
        <f>X130+X132+X134+X136</f>
        <v>0</v>
      </c>
    </row>
    <row r="129" spans="1:256" ht="16.5" thickBot="1">
      <c r="A129" s="56" t="s">
        <v>151</v>
      </c>
      <c r="B129" s="55" t="s">
        <v>152</v>
      </c>
      <c r="C129" s="56" t="s">
        <v>47</v>
      </c>
      <c r="D129" s="906">
        <f t="shared" ref="D129:D138" si="44">E129+H129+K129+N129+P129+R129+U129+W129</f>
        <v>0</v>
      </c>
      <c r="E129" s="906">
        <f t="shared" ref="E129:E138" si="45">F129+G129</f>
        <v>0</v>
      </c>
      <c r="F129" s="960"/>
      <c r="G129" s="960"/>
      <c r="H129" s="906">
        <f t="shared" si="37"/>
        <v>0</v>
      </c>
      <c r="I129" s="122"/>
      <c r="J129" s="122"/>
      <c r="K129" s="906">
        <f t="shared" si="38"/>
        <v>0</v>
      </c>
      <c r="L129" s="122"/>
      <c r="M129" s="122"/>
      <c r="N129" s="57">
        <f t="shared" si="39"/>
        <v>0</v>
      </c>
      <c r="O129" s="228"/>
      <c r="P129" s="57">
        <f t="shared" si="40"/>
        <v>0</v>
      </c>
      <c r="Q129" s="241"/>
      <c r="R129" s="57">
        <f t="shared" si="41"/>
        <v>0</v>
      </c>
      <c r="S129" s="54"/>
      <c r="T129" s="228"/>
      <c r="U129" s="57">
        <f t="shared" si="42"/>
        <v>0</v>
      </c>
      <c r="V129" s="53"/>
      <c r="W129" s="57">
        <f t="shared" si="43"/>
        <v>0</v>
      </c>
      <c r="X129" s="53"/>
    </row>
    <row r="130" spans="1:256" ht="16.5" thickBot="1">
      <c r="A130" s="56"/>
      <c r="B130" s="55"/>
      <c r="C130" s="56" t="s">
        <v>21</v>
      </c>
      <c r="D130" s="906">
        <f t="shared" si="44"/>
        <v>0</v>
      </c>
      <c r="E130" s="906">
        <f t="shared" si="45"/>
        <v>0</v>
      </c>
      <c r="F130" s="960"/>
      <c r="G130" s="960"/>
      <c r="H130" s="906">
        <f t="shared" si="37"/>
        <v>0</v>
      </c>
      <c r="I130" s="122"/>
      <c r="J130" s="122"/>
      <c r="K130" s="906">
        <f t="shared" si="38"/>
        <v>0</v>
      </c>
      <c r="L130" s="122"/>
      <c r="M130" s="122"/>
      <c r="N130" s="57">
        <f t="shared" si="39"/>
        <v>0</v>
      </c>
      <c r="O130" s="64"/>
      <c r="P130" s="57">
        <f t="shared" si="40"/>
        <v>0</v>
      </c>
      <c r="Q130" s="249"/>
      <c r="R130" s="57">
        <f t="shared" si="41"/>
        <v>0</v>
      </c>
      <c r="S130" s="59"/>
      <c r="T130" s="64"/>
      <c r="U130" s="57">
        <f t="shared" si="42"/>
        <v>0</v>
      </c>
      <c r="V130" s="57"/>
      <c r="W130" s="57">
        <f t="shared" si="43"/>
        <v>0</v>
      </c>
      <c r="X130" s="57"/>
    </row>
    <row r="131" spans="1:256" ht="16.5" thickBot="1">
      <c r="A131" s="56" t="s">
        <v>153</v>
      </c>
      <c r="B131" s="55" t="s">
        <v>154</v>
      </c>
      <c r="C131" s="56" t="s">
        <v>47</v>
      </c>
      <c r="D131" s="906">
        <f t="shared" si="44"/>
        <v>0</v>
      </c>
      <c r="E131" s="906">
        <f t="shared" si="45"/>
        <v>0</v>
      </c>
      <c r="F131" s="960"/>
      <c r="G131" s="960"/>
      <c r="H131" s="906">
        <f t="shared" si="37"/>
        <v>0</v>
      </c>
      <c r="I131" s="122"/>
      <c r="J131" s="122"/>
      <c r="K131" s="906">
        <f t="shared" si="38"/>
        <v>0</v>
      </c>
      <c r="L131" s="122"/>
      <c r="M131" s="122"/>
      <c r="N131" s="57">
        <f t="shared" si="39"/>
        <v>0</v>
      </c>
      <c r="O131" s="64"/>
      <c r="P131" s="57">
        <f t="shared" si="40"/>
        <v>0</v>
      </c>
      <c r="Q131" s="249"/>
      <c r="R131" s="57">
        <f t="shared" si="41"/>
        <v>0</v>
      </c>
      <c r="S131" s="59"/>
      <c r="T131" s="64"/>
      <c r="U131" s="57">
        <f t="shared" si="42"/>
        <v>0</v>
      </c>
      <c r="V131" s="57"/>
      <c r="W131" s="57">
        <f t="shared" si="43"/>
        <v>0</v>
      </c>
      <c r="X131" s="57"/>
    </row>
    <row r="132" spans="1:256" ht="16.5" thickBot="1">
      <c r="A132" s="56"/>
      <c r="B132" s="55"/>
      <c r="C132" s="56" t="s">
        <v>155</v>
      </c>
      <c r="D132" s="906">
        <f t="shared" si="44"/>
        <v>0</v>
      </c>
      <c r="E132" s="906">
        <f t="shared" si="45"/>
        <v>0</v>
      </c>
      <c r="F132" s="960"/>
      <c r="G132" s="960"/>
      <c r="H132" s="906">
        <f t="shared" si="37"/>
        <v>0</v>
      </c>
      <c r="I132" s="122"/>
      <c r="J132" s="122"/>
      <c r="K132" s="906">
        <f t="shared" si="38"/>
        <v>0</v>
      </c>
      <c r="L132" s="122"/>
      <c r="M132" s="122"/>
      <c r="N132" s="57">
        <f t="shared" si="39"/>
        <v>0</v>
      </c>
      <c r="O132" s="64"/>
      <c r="P132" s="57">
        <f t="shared" si="40"/>
        <v>0</v>
      </c>
      <c r="Q132" s="249"/>
      <c r="R132" s="57">
        <f t="shared" si="41"/>
        <v>0</v>
      </c>
      <c r="S132" s="59"/>
      <c r="T132" s="64"/>
      <c r="U132" s="57">
        <f t="shared" si="42"/>
        <v>0</v>
      </c>
      <c r="V132" s="57"/>
      <c r="W132" s="57">
        <f t="shared" si="43"/>
        <v>0</v>
      </c>
      <c r="X132" s="57"/>
    </row>
    <row r="133" spans="1:256" ht="16.5" thickBot="1">
      <c r="A133" s="56" t="s">
        <v>156</v>
      </c>
      <c r="B133" s="55" t="s">
        <v>157</v>
      </c>
      <c r="C133" s="56" t="s">
        <v>47</v>
      </c>
      <c r="D133" s="906">
        <f t="shared" si="44"/>
        <v>0</v>
      </c>
      <c r="E133" s="906">
        <f t="shared" si="45"/>
        <v>0</v>
      </c>
      <c r="F133" s="960"/>
      <c r="G133" s="960"/>
      <c r="H133" s="906">
        <f t="shared" si="37"/>
        <v>0</v>
      </c>
      <c r="I133" s="122"/>
      <c r="J133" s="122"/>
      <c r="K133" s="906">
        <f t="shared" si="38"/>
        <v>0</v>
      </c>
      <c r="L133" s="122"/>
      <c r="M133" s="122"/>
      <c r="N133" s="57">
        <f t="shared" si="39"/>
        <v>0</v>
      </c>
      <c r="O133" s="64"/>
      <c r="P133" s="57">
        <f t="shared" si="40"/>
        <v>0</v>
      </c>
      <c r="Q133" s="249"/>
      <c r="R133" s="57">
        <f t="shared" si="41"/>
        <v>0</v>
      </c>
      <c r="S133" s="59"/>
      <c r="T133" s="64"/>
      <c r="U133" s="57">
        <f t="shared" si="42"/>
        <v>0</v>
      </c>
      <c r="V133" s="57"/>
      <c r="W133" s="57">
        <f t="shared" si="43"/>
        <v>0</v>
      </c>
      <c r="X133" s="57"/>
    </row>
    <row r="134" spans="1:256" ht="16.5" thickBot="1">
      <c r="A134" s="56"/>
      <c r="B134" s="184" t="s">
        <v>158</v>
      </c>
      <c r="C134" s="56" t="s">
        <v>21</v>
      </c>
      <c r="D134" s="906">
        <f t="shared" si="44"/>
        <v>0</v>
      </c>
      <c r="E134" s="906">
        <f t="shared" si="45"/>
        <v>0</v>
      </c>
      <c r="F134" s="960"/>
      <c r="G134" s="960"/>
      <c r="H134" s="906">
        <f t="shared" si="37"/>
        <v>0</v>
      </c>
      <c r="I134" s="122"/>
      <c r="J134" s="122"/>
      <c r="K134" s="906">
        <f t="shared" si="38"/>
        <v>0</v>
      </c>
      <c r="L134" s="122"/>
      <c r="M134" s="122"/>
      <c r="N134" s="57">
        <f t="shared" si="39"/>
        <v>0</v>
      </c>
      <c r="O134" s="64"/>
      <c r="P134" s="57">
        <f t="shared" si="40"/>
        <v>0</v>
      </c>
      <c r="Q134" s="249"/>
      <c r="R134" s="57">
        <f t="shared" si="41"/>
        <v>0</v>
      </c>
      <c r="S134" s="59"/>
      <c r="T134" s="64"/>
      <c r="U134" s="57">
        <f t="shared" si="42"/>
        <v>0</v>
      </c>
      <c r="V134" s="57"/>
      <c r="W134" s="57">
        <f t="shared" si="43"/>
        <v>0</v>
      </c>
      <c r="X134" s="57"/>
    </row>
    <row r="135" spans="1:256" ht="16.5" thickBot="1">
      <c r="A135" s="56" t="s">
        <v>159</v>
      </c>
      <c r="B135" s="250" t="s">
        <v>160</v>
      </c>
      <c r="C135" s="56" t="s">
        <v>47</v>
      </c>
      <c r="D135" s="906">
        <f t="shared" si="44"/>
        <v>0</v>
      </c>
      <c r="E135" s="906">
        <f t="shared" si="45"/>
        <v>0</v>
      </c>
      <c r="F135" s="960"/>
      <c r="G135" s="960"/>
      <c r="H135" s="906">
        <f t="shared" si="37"/>
        <v>0</v>
      </c>
      <c r="I135" s="122"/>
      <c r="J135" s="122"/>
      <c r="K135" s="906">
        <f t="shared" si="38"/>
        <v>0</v>
      </c>
      <c r="L135" s="122"/>
      <c r="M135" s="122"/>
      <c r="N135" s="57">
        <f t="shared" si="39"/>
        <v>0</v>
      </c>
      <c r="O135" s="64"/>
      <c r="P135" s="57">
        <f t="shared" si="40"/>
        <v>0</v>
      </c>
      <c r="Q135" s="249"/>
      <c r="R135" s="57">
        <f t="shared" si="41"/>
        <v>0</v>
      </c>
      <c r="S135" s="59"/>
      <c r="T135" s="64"/>
      <c r="U135" s="57">
        <f t="shared" si="42"/>
        <v>0</v>
      </c>
      <c r="V135" s="57"/>
      <c r="W135" s="57">
        <f t="shared" si="43"/>
        <v>0</v>
      </c>
      <c r="X135" s="57"/>
    </row>
    <row r="136" spans="1:256" ht="16.5" thickBot="1">
      <c r="A136" s="71"/>
      <c r="B136" s="251"/>
      <c r="C136" s="71" t="s">
        <v>21</v>
      </c>
      <c r="D136" s="907">
        <f t="shared" si="44"/>
        <v>0</v>
      </c>
      <c r="E136" s="907">
        <f t="shared" si="45"/>
        <v>0</v>
      </c>
      <c r="F136" s="961"/>
      <c r="G136" s="961"/>
      <c r="H136" s="907">
        <f t="shared" si="37"/>
        <v>0</v>
      </c>
      <c r="I136" s="137"/>
      <c r="J136" s="137"/>
      <c r="K136" s="906">
        <f t="shared" si="38"/>
        <v>0</v>
      </c>
      <c r="L136" s="122"/>
      <c r="M136" s="122"/>
      <c r="N136" s="57">
        <f t="shared" si="39"/>
        <v>0</v>
      </c>
      <c r="O136" s="130"/>
      <c r="P136" s="57">
        <f t="shared" si="40"/>
        <v>0</v>
      </c>
      <c r="Q136" s="252"/>
      <c r="R136" s="57">
        <f t="shared" si="41"/>
        <v>0</v>
      </c>
      <c r="S136" s="129"/>
      <c r="T136" s="130"/>
      <c r="U136" s="57">
        <f t="shared" si="42"/>
        <v>0</v>
      </c>
      <c r="V136" s="72"/>
      <c r="W136" s="57">
        <f t="shared" si="43"/>
        <v>0</v>
      </c>
      <c r="X136" s="72"/>
    </row>
    <row r="137" spans="1:256" ht="16.5" thickBot="1">
      <c r="A137" s="17" t="s">
        <v>161</v>
      </c>
      <c r="B137" s="19" t="s">
        <v>162</v>
      </c>
      <c r="C137" s="17" t="s">
        <v>21</v>
      </c>
      <c r="D137" s="920">
        <f t="shared" si="44"/>
        <v>0</v>
      </c>
      <c r="E137" s="920">
        <f t="shared" si="45"/>
        <v>0</v>
      </c>
      <c r="F137" s="931"/>
      <c r="G137" s="931"/>
      <c r="H137" s="920">
        <f t="shared" si="37"/>
        <v>0</v>
      </c>
      <c r="I137" s="21"/>
      <c r="J137" s="21"/>
      <c r="K137" s="935">
        <f t="shared" si="38"/>
        <v>0</v>
      </c>
      <c r="L137" s="122"/>
      <c r="M137" s="122"/>
      <c r="N137" s="57">
        <f t="shared" si="39"/>
        <v>0</v>
      </c>
      <c r="O137" s="115"/>
      <c r="P137" s="57">
        <f t="shared" si="40"/>
        <v>0</v>
      </c>
      <c r="Q137" s="189"/>
      <c r="R137" s="57">
        <f t="shared" si="41"/>
        <v>0</v>
      </c>
      <c r="S137" s="221"/>
      <c r="T137" s="115"/>
      <c r="U137" s="57">
        <f t="shared" si="42"/>
        <v>0</v>
      </c>
      <c r="V137" s="253"/>
      <c r="W137" s="57">
        <f t="shared" si="43"/>
        <v>0</v>
      </c>
      <c r="X137" s="253"/>
    </row>
    <row r="138" spans="1:256" s="254" customFormat="1" ht="16.5" thickBot="1">
      <c r="A138" s="17" t="s">
        <v>163</v>
      </c>
      <c r="B138" s="19" t="s">
        <v>164</v>
      </c>
      <c r="C138" s="17" t="s">
        <v>21</v>
      </c>
      <c r="D138" s="920">
        <f t="shared" si="44"/>
        <v>0</v>
      </c>
      <c r="E138" s="920">
        <f t="shared" si="45"/>
        <v>0</v>
      </c>
      <c r="F138" s="931"/>
      <c r="G138" s="931"/>
      <c r="H138" s="920">
        <f t="shared" si="37"/>
        <v>0</v>
      </c>
      <c r="I138" s="21"/>
      <c r="J138" s="21"/>
      <c r="K138" s="935">
        <f t="shared" si="38"/>
        <v>0</v>
      </c>
      <c r="L138" s="122"/>
      <c r="M138" s="122"/>
      <c r="N138" s="57">
        <f t="shared" si="39"/>
        <v>0</v>
      </c>
      <c r="O138" s="119"/>
      <c r="P138" s="57">
        <f t="shared" si="40"/>
        <v>0</v>
      </c>
      <c r="Q138" s="190"/>
      <c r="R138" s="57">
        <f t="shared" si="41"/>
        <v>0</v>
      </c>
      <c r="S138" s="229"/>
      <c r="T138" s="119"/>
      <c r="U138" s="57">
        <f t="shared" si="42"/>
        <v>0</v>
      </c>
      <c r="V138" s="237"/>
      <c r="W138" s="57">
        <f t="shared" si="43"/>
        <v>0</v>
      </c>
      <c r="X138" s="237"/>
      <c r="FC138" s="255"/>
      <c r="FD138" s="255"/>
      <c r="FE138" s="255"/>
      <c r="FF138" s="255"/>
      <c r="FG138" s="255"/>
      <c r="FH138" s="255"/>
      <c r="FI138" s="255"/>
      <c r="FJ138" s="255"/>
      <c r="FK138" s="255"/>
      <c r="FL138" s="255"/>
      <c r="FM138" s="255"/>
      <c r="FN138" s="255"/>
      <c r="FO138" s="255"/>
      <c r="FP138" s="255"/>
      <c r="FQ138" s="255"/>
      <c r="FR138" s="255"/>
      <c r="FS138" s="255"/>
      <c r="FT138" s="255"/>
      <c r="FU138" s="255"/>
      <c r="FV138" s="255"/>
      <c r="FW138" s="255"/>
      <c r="FX138" s="255"/>
      <c r="FY138" s="255"/>
      <c r="FZ138" s="255"/>
      <c r="GA138" s="255"/>
      <c r="GB138" s="255"/>
      <c r="GC138" s="255"/>
      <c r="GD138" s="255"/>
      <c r="GE138" s="255"/>
      <c r="GF138" s="255"/>
      <c r="GG138" s="255"/>
      <c r="GH138" s="255"/>
      <c r="GI138" s="255"/>
      <c r="GJ138" s="255"/>
      <c r="GK138" s="255"/>
      <c r="GL138" s="255"/>
      <c r="GM138" s="255"/>
      <c r="GN138" s="255"/>
      <c r="GO138" s="255"/>
      <c r="GP138" s="255"/>
      <c r="GQ138" s="255"/>
      <c r="GR138" s="255"/>
      <c r="GS138" s="255"/>
      <c r="GT138" s="255"/>
      <c r="GU138" s="255"/>
      <c r="GV138" s="255"/>
      <c r="GW138" s="255"/>
      <c r="GX138" s="255"/>
      <c r="GY138" s="255"/>
      <c r="GZ138" s="255"/>
      <c r="HA138" s="255"/>
      <c r="HB138" s="255"/>
      <c r="HC138" s="255"/>
      <c r="HD138" s="255"/>
      <c r="HE138" s="255"/>
      <c r="HF138" s="255"/>
      <c r="HG138" s="255"/>
      <c r="HH138" s="255"/>
      <c r="HI138" s="255"/>
      <c r="HJ138" s="255"/>
      <c r="HK138" s="255"/>
      <c r="HL138" s="255"/>
      <c r="HM138" s="255"/>
      <c r="HN138" s="255"/>
      <c r="HO138" s="255"/>
      <c r="HP138" s="255"/>
      <c r="HQ138" s="255"/>
      <c r="HR138" s="255"/>
      <c r="HS138" s="255"/>
      <c r="HT138" s="255"/>
      <c r="HU138" s="255"/>
      <c r="HV138" s="255"/>
      <c r="HW138" s="255"/>
      <c r="HX138" s="255"/>
      <c r="HY138" s="255"/>
      <c r="HZ138" s="255"/>
      <c r="IA138" s="255"/>
      <c r="IB138" s="255"/>
      <c r="IC138" s="255"/>
      <c r="ID138" s="255"/>
      <c r="IE138" s="255"/>
      <c r="IF138" s="255"/>
      <c r="IG138" s="255"/>
      <c r="IH138" s="255"/>
      <c r="II138" s="255"/>
      <c r="IJ138" s="255"/>
      <c r="IK138" s="255"/>
      <c r="IL138" s="255"/>
      <c r="IM138" s="255"/>
      <c r="IN138" s="255"/>
      <c r="IO138" s="255"/>
      <c r="IP138" s="255"/>
      <c r="IQ138" s="255"/>
      <c r="IR138" s="255"/>
      <c r="IS138" s="255"/>
      <c r="IT138" s="255"/>
      <c r="IU138" s="255"/>
      <c r="IV138" s="255"/>
    </row>
    <row r="139" spans="1:256" ht="15.75">
      <c r="A139" s="17" t="s">
        <v>165</v>
      </c>
      <c r="B139" s="8" t="s">
        <v>166</v>
      </c>
      <c r="C139" s="17" t="s">
        <v>47</v>
      </c>
      <c r="D139" s="920">
        <f>D149</f>
        <v>453</v>
      </c>
      <c r="E139" s="920">
        <f t="shared" ref="E139:G140" si="46">E141+E143+E145+E147+E149+E151+E153+E155</f>
        <v>0</v>
      </c>
      <c r="F139" s="920">
        <f t="shared" si="46"/>
        <v>0</v>
      </c>
      <c r="G139" s="920">
        <f t="shared" si="46"/>
        <v>0</v>
      </c>
      <c r="H139" s="920">
        <f>H149</f>
        <v>434</v>
      </c>
      <c r="I139" s="618">
        <v>434</v>
      </c>
      <c r="J139" s="18">
        <f t="shared" ref="J139:X140" si="47">J141+J143+J145+J147+J149+J151+J153+J155</f>
        <v>0</v>
      </c>
      <c r="K139" s="936">
        <f>K149</f>
        <v>19</v>
      </c>
      <c r="L139" s="53">
        <f>L149</f>
        <v>19</v>
      </c>
      <c r="M139" s="53">
        <f>M141+M143+M145+M147+M149+M151+M153+M155</f>
        <v>0</v>
      </c>
      <c r="N139" s="53">
        <f t="shared" si="47"/>
        <v>0</v>
      </c>
      <c r="O139" s="53">
        <f t="shared" si="47"/>
        <v>0</v>
      </c>
      <c r="P139" s="53">
        <f t="shared" si="47"/>
        <v>0</v>
      </c>
      <c r="Q139" s="53">
        <f t="shared" si="47"/>
        <v>0</v>
      </c>
      <c r="R139" s="53">
        <f t="shared" si="47"/>
        <v>0</v>
      </c>
      <c r="S139" s="53">
        <f t="shared" si="47"/>
        <v>0</v>
      </c>
      <c r="T139" s="53">
        <f t="shared" si="47"/>
        <v>0</v>
      </c>
      <c r="U139" s="53">
        <f t="shared" si="47"/>
        <v>0</v>
      </c>
      <c r="V139" s="53">
        <f t="shared" si="47"/>
        <v>0</v>
      </c>
      <c r="W139" s="53">
        <f t="shared" si="47"/>
        <v>0</v>
      </c>
      <c r="X139" s="53">
        <f t="shared" si="47"/>
        <v>0</v>
      </c>
    </row>
    <row r="140" spans="1:256" ht="16.5" thickBot="1">
      <c r="A140" s="17"/>
      <c r="B140" s="8" t="s">
        <v>84</v>
      </c>
      <c r="C140" s="17" t="s">
        <v>21</v>
      </c>
      <c r="D140" s="920">
        <f>D150</f>
        <v>9.26</v>
      </c>
      <c r="E140" s="920">
        <f t="shared" si="46"/>
        <v>0</v>
      </c>
      <c r="F140" s="920">
        <f t="shared" si="46"/>
        <v>0</v>
      </c>
      <c r="G140" s="920">
        <f t="shared" si="46"/>
        <v>0</v>
      </c>
      <c r="H140" s="920">
        <f>H150</f>
        <v>5.141</v>
      </c>
      <c r="I140" s="618">
        <v>5.141</v>
      </c>
      <c r="J140" s="18">
        <f t="shared" si="47"/>
        <v>0</v>
      </c>
      <c r="K140" s="936">
        <f t="shared" si="47"/>
        <v>4.1189999999999998</v>
      </c>
      <c r="L140" s="53">
        <f>L150</f>
        <v>4.1189999999999998</v>
      </c>
      <c r="M140" s="53">
        <f t="shared" si="47"/>
        <v>0</v>
      </c>
      <c r="N140" s="53">
        <f t="shared" si="47"/>
        <v>0</v>
      </c>
      <c r="O140" s="53">
        <f t="shared" si="47"/>
        <v>0</v>
      </c>
      <c r="P140" s="53">
        <f t="shared" si="47"/>
        <v>0</v>
      </c>
      <c r="Q140" s="53">
        <f t="shared" si="47"/>
        <v>0</v>
      </c>
      <c r="R140" s="53">
        <f t="shared" si="47"/>
        <v>0</v>
      </c>
      <c r="S140" s="53">
        <f t="shared" si="47"/>
        <v>0</v>
      </c>
      <c r="T140" s="53">
        <f t="shared" si="47"/>
        <v>0</v>
      </c>
      <c r="U140" s="53">
        <f t="shared" si="47"/>
        <v>0</v>
      </c>
      <c r="V140" s="53">
        <f t="shared" si="47"/>
        <v>0</v>
      </c>
      <c r="W140" s="53">
        <f t="shared" si="47"/>
        <v>0</v>
      </c>
      <c r="X140" s="53">
        <f t="shared" si="47"/>
        <v>0</v>
      </c>
    </row>
    <row r="141" spans="1:256" ht="16.5" thickBot="1">
      <c r="A141" s="17" t="s">
        <v>167</v>
      </c>
      <c r="B141" s="19" t="s">
        <v>168</v>
      </c>
      <c r="C141" s="17" t="s">
        <v>47</v>
      </c>
      <c r="D141" s="920">
        <f t="shared" ref="D141:D142" si="48">E141+H141+K141+N141+P141+R141+U141+W141</f>
        <v>0</v>
      </c>
      <c r="E141" s="920">
        <f t="shared" ref="E141:E156" si="49">F141+G141</f>
        <v>0</v>
      </c>
      <c r="F141" s="931"/>
      <c r="G141" s="931"/>
      <c r="H141" s="907">
        <f t="shared" ref="H141:H156" si="50">I141+J141</f>
        <v>0</v>
      </c>
      <c r="I141" s="21"/>
      <c r="J141" s="21"/>
      <c r="K141" s="935">
        <f t="shared" ref="K141:K156" si="51">L141+M141</f>
        <v>0</v>
      </c>
      <c r="L141" s="122"/>
      <c r="M141" s="122"/>
      <c r="N141" s="57">
        <f t="shared" ref="N141:N156" si="52">O141</f>
        <v>0</v>
      </c>
      <c r="O141" s="256"/>
      <c r="P141" s="57">
        <f t="shared" ref="P141:P156" si="53">Q141</f>
        <v>0</v>
      </c>
      <c r="Q141" s="66"/>
      <c r="R141" s="57">
        <f t="shared" ref="R141:R156" si="54">S141+T141</f>
        <v>0</v>
      </c>
      <c r="S141" s="59"/>
      <c r="T141" s="57"/>
      <c r="U141" s="57">
        <f t="shared" ref="U141:U156" si="55">V141</f>
        <v>0</v>
      </c>
      <c r="V141" s="57"/>
      <c r="W141" s="57">
        <f t="shared" ref="W141:W156" si="56">X141</f>
        <v>0</v>
      </c>
      <c r="X141" s="57"/>
    </row>
    <row r="142" spans="1:256" ht="16.5" thickBot="1">
      <c r="A142" s="17"/>
      <c r="B142" s="19"/>
      <c r="C142" s="17" t="s">
        <v>21</v>
      </c>
      <c r="D142" s="920">
        <f t="shared" si="48"/>
        <v>0</v>
      </c>
      <c r="E142" s="920">
        <f t="shared" si="49"/>
        <v>0</v>
      </c>
      <c r="F142" s="931"/>
      <c r="G142" s="931"/>
      <c r="H142" s="907">
        <f t="shared" si="50"/>
        <v>0</v>
      </c>
      <c r="I142" s="21"/>
      <c r="J142" s="21"/>
      <c r="K142" s="935">
        <f t="shared" si="51"/>
        <v>0</v>
      </c>
      <c r="L142" s="122"/>
      <c r="M142" s="122"/>
      <c r="N142" s="57">
        <f t="shared" si="52"/>
        <v>0</v>
      </c>
      <c r="O142" s="256"/>
      <c r="P142" s="57">
        <f t="shared" si="53"/>
        <v>0</v>
      </c>
      <c r="Q142" s="66"/>
      <c r="R142" s="57">
        <f t="shared" si="54"/>
        <v>0</v>
      </c>
      <c r="S142" s="59"/>
      <c r="T142" s="57"/>
      <c r="U142" s="57">
        <f t="shared" si="55"/>
        <v>0</v>
      </c>
      <c r="V142" s="57"/>
      <c r="W142" s="57">
        <f t="shared" si="56"/>
        <v>0</v>
      </c>
      <c r="X142" s="57"/>
    </row>
    <row r="143" spans="1:256" s="6" customFormat="1" ht="16.5" thickBot="1">
      <c r="A143" s="17" t="s">
        <v>169</v>
      </c>
      <c r="B143" s="19" t="s">
        <v>170</v>
      </c>
      <c r="C143" s="17" t="s">
        <v>47</v>
      </c>
      <c r="D143" s="920">
        <f>E143+I143+K143+N143+P143+R143+U143+W143</f>
        <v>0</v>
      </c>
      <c r="E143" s="920">
        <f t="shared" si="49"/>
        <v>0</v>
      </c>
      <c r="F143" s="931"/>
      <c r="G143" s="931"/>
      <c r="H143" s="907"/>
      <c r="I143" s="21"/>
      <c r="J143" s="21"/>
      <c r="K143" s="935">
        <f t="shared" si="51"/>
        <v>0</v>
      </c>
      <c r="L143" s="122"/>
      <c r="M143" s="122"/>
      <c r="N143" s="57">
        <f t="shared" si="52"/>
        <v>0</v>
      </c>
      <c r="O143" s="256"/>
      <c r="P143" s="57">
        <f t="shared" si="53"/>
        <v>0</v>
      </c>
      <c r="Q143" s="66"/>
      <c r="R143" s="57">
        <f t="shared" si="54"/>
        <v>0</v>
      </c>
      <c r="S143" s="59"/>
      <c r="T143" s="57"/>
      <c r="U143" s="57">
        <f t="shared" si="55"/>
        <v>0</v>
      </c>
      <c r="V143" s="57"/>
      <c r="W143" s="57">
        <f t="shared" si="56"/>
        <v>0</v>
      </c>
      <c r="X143" s="57"/>
    </row>
    <row r="144" spans="1:256" s="6" customFormat="1" ht="16.5" thickBot="1">
      <c r="A144" s="17"/>
      <c r="B144" s="19"/>
      <c r="C144" s="17" t="s">
        <v>21</v>
      </c>
      <c r="D144" s="920">
        <f>E144+I144+K144+N144+P144+R144+U144+W144</f>
        <v>0</v>
      </c>
      <c r="E144" s="920">
        <f t="shared" si="49"/>
        <v>0</v>
      </c>
      <c r="F144" s="931"/>
      <c r="G144" s="931"/>
      <c r="H144" s="907"/>
      <c r="I144" s="21"/>
      <c r="J144" s="21"/>
      <c r="K144" s="935">
        <f t="shared" si="51"/>
        <v>0</v>
      </c>
      <c r="L144" s="122"/>
      <c r="M144" s="122"/>
      <c r="N144" s="57">
        <f t="shared" si="52"/>
        <v>0</v>
      </c>
      <c r="O144" s="256"/>
      <c r="P144" s="57">
        <f t="shared" si="53"/>
        <v>0</v>
      </c>
      <c r="Q144" s="66"/>
      <c r="R144" s="57">
        <f t="shared" si="54"/>
        <v>0</v>
      </c>
      <c r="S144" s="59"/>
      <c r="T144" s="57"/>
      <c r="U144" s="57">
        <f t="shared" si="55"/>
        <v>0</v>
      </c>
      <c r="V144" s="57"/>
      <c r="W144" s="57">
        <f t="shared" si="56"/>
        <v>0</v>
      </c>
      <c r="X144" s="57"/>
    </row>
    <row r="145" spans="1:24" s="6" customFormat="1" ht="16.5" thickBot="1">
      <c r="A145" s="17" t="s">
        <v>171</v>
      </c>
      <c r="B145" s="19" t="s">
        <v>172</v>
      </c>
      <c r="C145" s="17" t="s">
        <v>47</v>
      </c>
      <c r="D145" s="920">
        <f>E145+I145+K145+N145+P145+R145+U145+W145</f>
        <v>0</v>
      </c>
      <c r="E145" s="920">
        <f t="shared" si="49"/>
        <v>0</v>
      </c>
      <c r="F145" s="931"/>
      <c r="G145" s="931"/>
      <c r="H145" s="907"/>
      <c r="I145" s="21"/>
      <c r="J145" s="21"/>
      <c r="K145" s="935">
        <f t="shared" si="51"/>
        <v>0</v>
      </c>
      <c r="L145" s="122"/>
      <c r="M145" s="122"/>
      <c r="N145" s="57">
        <f t="shared" si="52"/>
        <v>0</v>
      </c>
      <c r="O145" s="256"/>
      <c r="P145" s="57">
        <f t="shared" si="53"/>
        <v>0</v>
      </c>
      <c r="Q145" s="66"/>
      <c r="R145" s="57">
        <f t="shared" si="54"/>
        <v>0</v>
      </c>
      <c r="S145" s="59"/>
      <c r="T145" s="57"/>
      <c r="U145" s="57">
        <f t="shared" si="55"/>
        <v>0</v>
      </c>
      <c r="V145" s="57"/>
      <c r="W145" s="57">
        <f t="shared" si="56"/>
        <v>0</v>
      </c>
      <c r="X145" s="57"/>
    </row>
    <row r="146" spans="1:24" s="6" customFormat="1" ht="16.5" thickBot="1">
      <c r="A146" s="17"/>
      <c r="B146" s="19"/>
      <c r="C146" s="17" t="s">
        <v>21</v>
      </c>
      <c r="D146" s="920">
        <f>E146+I146+K146+N146+P146+R146+U146+W146</f>
        <v>0</v>
      </c>
      <c r="E146" s="920">
        <f t="shared" si="49"/>
        <v>0</v>
      </c>
      <c r="F146" s="931"/>
      <c r="G146" s="931"/>
      <c r="H146" s="907"/>
      <c r="I146" s="21"/>
      <c r="J146" s="21"/>
      <c r="K146" s="935">
        <f t="shared" si="51"/>
        <v>0</v>
      </c>
      <c r="L146" s="122"/>
      <c r="M146" s="122"/>
      <c r="N146" s="57">
        <f t="shared" si="52"/>
        <v>0</v>
      </c>
      <c r="O146" s="256"/>
      <c r="P146" s="57">
        <f t="shared" si="53"/>
        <v>0</v>
      </c>
      <c r="Q146" s="66"/>
      <c r="R146" s="57">
        <f t="shared" si="54"/>
        <v>0</v>
      </c>
      <c r="S146" s="59"/>
      <c r="T146" s="57"/>
      <c r="U146" s="57">
        <f t="shared" si="55"/>
        <v>0</v>
      </c>
      <c r="V146" s="57"/>
      <c r="W146" s="57">
        <f t="shared" si="56"/>
        <v>0</v>
      </c>
      <c r="X146" s="57"/>
    </row>
    <row r="147" spans="1:24" s="6" customFormat="1" ht="16.5" thickBot="1">
      <c r="A147" s="17" t="s">
        <v>173</v>
      </c>
      <c r="B147" s="19" t="s">
        <v>174</v>
      </c>
      <c r="C147" s="17" t="s">
        <v>47</v>
      </c>
      <c r="D147" s="920"/>
      <c r="E147" s="920"/>
      <c r="F147" s="931"/>
      <c r="G147" s="931"/>
      <c r="H147" s="907"/>
      <c r="I147" s="21"/>
      <c r="J147" s="21"/>
      <c r="K147" s="935">
        <f t="shared" si="51"/>
        <v>0</v>
      </c>
      <c r="L147" s="122"/>
      <c r="M147" s="122"/>
      <c r="N147" s="57">
        <f t="shared" si="52"/>
        <v>0</v>
      </c>
      <c r="O147" s="256"/>
      <c r="P147" s="57">
        <f t="shared" si="53"/>
        <v>0</v>
      </c>
      <c r="Q147" s="66"/>
      <c r="R147" s="57">
        <f t="shared" si="54"/>
        <v>0</v>
      </c>
      <c r="S147" s="59"/>
      <c r="T147" s="57"/>
      <c r="U147" s="57">
        <f t="shared" si="55"/>
        <v>0</v>
      </c>
      <c r="V147" s="57"/>
      <c r="W147" s="57">
        <f t="shared" si="56"/>
        <v>0</v>
      </c>
      <c r="X147" s="57"/>
    </row>
    <row r="148" spans="1:24" s="6" customFormat="1" ht="16.5" thickBot="1">
      <c r="A148" s="17"/>
      <c r="B148" s="19"/>
      <c r="C148" s="17" t="s">
        <v>21</v>
      </c>
      <c r="D148" s="920"/>
      <c r="E148" s="920"/>
      <c r="F148" s="931"/>
      <c r="G148" s="931"/>
      <c r="H148" s="907"/>
      <c r="I148" s="21"/>
      <c r="J148" s="21"/>
      <c r="K148" s="935">
        <f t="shared" si="51"/>
        <v>0</v>
      </c>
      <c r="L148" s="122"/>
      <c r="M148" s="122"/>
      <c r="N148" s="57">
        <f t="shared" si="52"/>
        <v>0</v>
      </c>
      <c r="O148" s="256"/>
      <c r="P148" s="57">
        <f t="shared" si="53"/>
        <v>0</v>
      </c>
      <c r="Q148" s="75"/>
      <c r="R148" s="57">
        <f t="shared" si="54"/>
        <v>0</v>
      </c>
      <c r="S148" s="129"/>
      <c r="T148" s="72"/>
      <c r="U148" s="57">
        <f t="shared" si="55"/>
        <v>0</v>
      </c>
      <c r="V148" s="72"/>
      <c r="W148" s="57">
        <f t="shared" si="56"/>
        <v>0</v>
      </c>
      <c r="X148" s="72"/>
    </row>
    <row r="149" spans="1:24" s="6" customFormat="1" ht="16.5" thickBot="1">
      <c r="A149" s="17" t="s">
        <v>175</v>
      </c>
      <c r="B149" s="19" t="s">
        <v>176</v>
      </c>
      <c r="C149" s="17" t="s">
        <v>47</v>
      </c>
      <c r="D149" s="920">
        <f>K149+H149</f>
        <v>453</v>
      </c>
      <c r="E149" s="920">
        <f t="shared" si="49"/>
        <v>0</v>
      </c>
      <c r="F149" s="931"/>
      <c r="G149" s="931"/>
      <c r="H149" s="907">
        <v>434</v>
      </c>
      <c r="I149" s="619">
        <v>434</v>
      </c>
      <c r="J149" s="21">
        <v>0</v>
      </c>
      <c r="K149" s="935">
        <f>L149+M149</f>
        <v>19</v>
      </c>
      <c r="L149" s="122">
        <v>19</v>
      </c>
      <c r="M149" s="122">
        <v>0</v>
      </c>
      <c r="N149" s="57">
        <f t="shared" si="52"/>
        <v>0</v>
      </c>
      <c r="O149" s="256"/>
      <c r="P149" s="57">
        <f t="shared" si="53"/>
        <v>0</v>
      </c>
      <c r="Q149" s="66"/>
      <c r="R149" s="57">
        <f t="shared" si="54"/>
        <v>0</v>
      </c>
      <c r="S149" s="59"/>
      <c r="T149" s="57"/>
      <c r="U149" s="57">
        <f t="shared" si="55"/>
        <v>0</v>
      </c>
      <c r="V149" s="57"/>
      <c r="W149" s="57">
        <f t="shared" si="56"/>
        <v>0</v>
      </c>
      <c r="X149" s="57"/>
    </row>
    <row r="150" spans="1:24" s="6" customFormat="1" ht="16.5" thickBot="1">
      <c r="A150" s="17"/>
      <c r="B150" s="19"/>
      <c r="C150" s="17" t="s">
        <v>21</v>
      </c>
      <c r="D150" s="920">
        <f>K150+H150</f>
        <v>9.26</v>
      </c>
      <c r="E150" s="920">
        <f t="shared" si="49"/>
        <v>0</v>
      </c>
      <c r="F150" s="931"/>
      <c r="G150" s="931"/>
      <c r="H150" s="907">
        <v>5.141</v>
      </c>
      <c r="I150" s="21">
        <v>5.141</v>
      </c>
      <c r="J150" s="21">
        <v>0</v>
      </c>
      <c r="K150" s="935">
        <f>L150+M150</f>
        <v>4.1189999999999998</v>
      </c>
      <c r="L150" s="122">
        <v>4.1189999999999998</v>
      </c>
      <c r="M150" s="122">
        <v>0</v>
      </c>
      <c r="N150" s="57">
        <f t="shared" si="52"/>
        <v>0</v>
      </c>
      <c r="O150" s="256"/>
      <c r="P150" s="57">
        <f t="shared" si="53"/>
        <v>0</v>
      </c>
      <c r="Q150" s="66"/>
      <c r="R150" s="57">
        <f t="shared" si="54"/>
        <v>0</v>
      </c>
      <c r="S150" s="59"/>
      <c r="T150" s="57"/>
      <c r="U150" s="57">
        <f t="shared" si="55"/>
        <v>0</v>
      </c>
      <c r="V150" s="57"/>
      <c r="W150" s="57">
        <f t="shared" si="56"/>
        <v>0</v>
      </c>
      <c r="X150" s="57"/>
    </row>
    <row r="151" spans="1:24" s="6" customFormat="1" ht="16.5" thickBot="1">
      <c r="A151" s="17" t="s">
        <v>177</v>
      </c>
      <c r="B151" s="19" t="s">
        <v>178</v>
      </c>
      <c r="C151" s="17" t="s">
        <v>47</v>
      </c>
      <c r="D151" s="920">
        <f t="shared" ref="D151:D156" si="57">E151+H151+K151+N151+P151+R151+U151+W151</f>
        <v>0</v>
      </c>
      <c r="E151" s="920">
        <f t="shared" si="49"/>
        <v>0</v>
      </c>
      <c r="F151" s="931"/>
      <c r="G151" s="931"/>
      <c r="H151" s="907">
        <f t="shared" si="50"/>
        <v>0</v>
      </c>
      <c r="I151" s="21"/>
      <c r="J151" s="21"/>
      <c r="K151" s="935">
        <f t="shared" si="51"/>
        <v>0</v>
      </c>
      <c r="L151" s="122"/>
      <c r="M151" s="122"/>
      <c r="N151" s="57">
        <f t="shared" si="52"/>
        <v>0</v>
      </c>
      <c r="O151" s="256"/>
      <c r="P151" s="57">
        <f t="shared" si="53"/>
        <v>0</v>
      </c>
      <c r="Q151" s="66"/>
      <c r="R151" s="57">
        <f t="shared" si="54"/>
        <v>0</v>
      </c>
      <c r="S151" s="59"/>
      <c r="T151" s="57"/>
      <c r="U151" s="57">
        <f t="shared" si="55"/>
        <v>0</v>
      </c>
      <c r="V151" s="57"/>
      <c r="W151" s="57">
        <f t="shared" si="56"/>
        <v>0</v>
      </c>
      <c r="X151" s="57"/>
    </row>
    <row r="152" spans="1:24" s="6" customFormat="1" ht="16.5" thickBot="1">
      <c r="A152" s="17"/>
      <c r="B152" s="19"/>
      <c r="C152" s="17" t="s">
        <v>21</v>
      </c>
      <c r="D152" s="920">
        <f t="shared" si="57"/>
        <v>0</v>
      </c>
      <c r="E152" s="920">
        <f t="shared" si="49"/>
        <v>0</v>
      </c>
      <c r="F152" s="931"/>
      <c r="G152" s="931"/>
      <c r="H152" s="907">
        <f t="shared" si="50"/>
        <v>0</v>
      </c>
      <c r="I152" s="21"/>
      <c r="J152" s="21"/>
      <c r="K152" s="935">
        <f t="shared" si="51"/>
        <v>0</v>
      </c>
      <c r="L152" s="122"/>
      <c r="M152" s="122"/>
      <c r="N152" s="57">
        <f t="shared" si="52"/>
        <v>0</v>
      </c>
      <c r="O152" s="256"/>
      <c r="P152" s="57">
        <f t="shared" si="53"/>
        <v>0</v>
      </c>
      <c r="Q152" s="66"/>
      <c r="R152" s="57">
        <f t="shared" si="54"/>
        <v>0</v>
      </c>
      <c r="S152" s="59"/>
      <c r="T152" s="57"/>
      <c r="U152" s="57">
        <f t="shared" si="55"/>
        <v>0</v>
      </c>
      <c r="V152" s="57"/>
      <c r="W152" s="57">
        <f t="shared" si="56"/>
        <v>0</v>
      </c>
      <c r="X152" s="57"/>
    </row>
    <row r="153" spans="1:24" s="6" customFormat="1" ht="16.5" thickBot="1">
      <c r="A153" s="17" t="s">
        <v>179</v>
      </c>
      <c r="B153" s="19" t="s">
        <v>180</v>
      </c>
      <c r="C153" s="17" t="s">
        <v>47</v>
      </c>
      <c r="D153" s="920">
        <f>E153+I153+K153+N153+P153+R153+U153+W153</f>
        <v>0</v>
      </c>
      <c r="E153" s="920">
        <f t="shared" si="49"/>
        <v>0</v>
      </c>
      <c r="F153" s="931"/>
      <c r="G153" s="931"/>
      <c r="H153" s="907"/>
      <c r="I153" s="620"/>
      <c r="J153" s="21"/>
      <c r="K153" s="935">
        <f t="shared" si="51"/>
        <v>0</v>
      </c>
      <c r="L153" s="122"/>
      <c r="M153" s="122"/>
      <c r="N153" s="57">
        <f t="shared" si="52"/>
        <v>0</v>
      </c>
      <c r="O153" s="256"/>
      <c r="P153" s="57">
        <f t="shared" si="53"/>
        <v>0</v>
      </c>
      <c r="Q153" s="66"/>
      <c r="R153" s="57">
        <f t="shared" si="54"/>
        <v>0</v>
      </c>
      <c r="S153" s="59"/>
      <c r="T153" s="57"/>
      <c r="U153" s="57">
        <f t="shared" si="55"/>
        <v>0</v>
      </c>
      <c r="V153" s="57"/>
      <c r="W153" s="57">
        <f t="shared" si="56"/>
        <v>0</v>
      </c>
      <c r="X153" s="57"/>
    </row>
    <row r="154" spans="1:24" s="6" customFormat="1" ht="16.5" thickBot="1">
      <c r="A154" s="17"/>
      <c r="B154" s="19"/>
      <c r="C154" s="17" t="s">
        <v>21</v>
      </c>
      <c r="D154" s="920">
        <f>E154+I154+K154+N154+P154+R154+U154+W154</f>
        <v>0</v>
      </c>
      <c r="E154" s="920">
        <f t="shared" si="49"/>
        <v>0</v>
      </c>
      <c r="F154" s="931"/>
      <c r="G154" s="931"/>
      <c r="H154" s="907"/>
      <c r="I154" s="621"/>
      <c r="J154" s="21"/>
      <c r="K154" s="935">
        <f t="shared" si="51"/>
        <v>0</v>
      </c>
      <c r="L154" s="122"/>
      <c r="M154" s="122"/>
      <c r="N154" s="57">
        <f t="shared" si="52"/>
        <v>0</v>
      </c>
      <c r="O154" s="256"/>
      <c r="P154" s="57">
        <f t="shared" si="53"/>
        <v>0</v>
      </c>
      <c r="Q154" s="66"/>
      <c r="R154" s="57">
        <f t="shared" si="54"/>
        <v>0</v>
      </c>
      <c r="S154" s="59"/>
      <c r="T154" s="57"/>
      <c r="U154" s="57">
        <f t="shared" si="55"/>
        <v>0</v>
      </c>
      <c r="V154" s="57"/>
      <c r="W154" s="57">
        <f t="shared" si="56"/>
        <v>0</v>
      </c>
      <c r="X154" s="57"/>
    </row>
    <row r="155" spans="1:24" s="6" customFormat="1" ht="16.5" thickBot="1">
      <c r="A155" s="17" t="s">
        <v>181</v>
      </c>
      <c r="B155" s="19" t="s">
        <v>182</v>
      </c>
      <c r="C155" s="17" t="s">
        <v>47</v>
      </c>
      <c r="D155" s="920">
        <f t="shared" si="57"/>
        <v>0</v>
      </c>
      <c r="E155" s="920">
        <f t="shared" si="49"/>
        <v>0</v>
      </c>
      <c r="F155" s="931"/>
      <c r="G155" s="931"/>
      <c r="H155" s="907">
        <f t="shared" si="50"/>
        <v>0</v>
      </c>
      <c r="I155" s="21"/>
      <c r="J155" s="21"/>
      <c r="K155" s="935">
        <f t="shared" si="51"/>
        <v>0</v>
      </c>
      <c r="L155" s="122"/>
      <c r="M155" s="122"/>
      <c r="N155" s="57">
        <f t="shared" si="52"/>
        <v>0</v>
      </c>
      <c r="O155" s="257"/>
      <c r="P155" s="57">
        <f t="shared" si="53"/>
        <v>0</v>
      </c>
      <c r="Q155" s="66"/>
      <c r="R155" s="57">
        <f t="shared" si="54"/>
        <v>0</v>
      </c>
      <c r="S155" s="59"/>
      <c r="T155" s="57"/>
      <c r="U155" s="57">
        <f t="shared" si="55"/>
        <v>0</v>
      </c>
      <c r="V155" s="57"/>
      <c r="W155" s="57">
        <f t="shared" si="56"/>
        <v>0</v>
      </c>
      <c r="X155" s="57"/>
    </row>
    <row r="156" spans="1:24" s="6" customFormat="1" ht="16.5" thickBot="1">
      <c r="A156" s="17"/>
      <c r="B156" s="19"/>
      <c r="C156" s="17" t="s">
        <v>21</v>
      </c>
      <c r="D156" s="920">
        <f t="shared" si="57"/>
        <v>0</v>
      </c>
      <c r="E156" s="920">
        <f t="shared" si="49"/>
        <v>0</v>
      </c>
      <c r="F156" s="931"/>
      <c r="G156" s="931"/>
      <c r="H156" s="907">
        <f t="shared" si="50"/>
        <v>0</v>
      </c>
      <c r="I156" s="21"/>
      <c r="J156" s="21"/>
      <c r="K156" s="935">
        <f t="shared" si="51"/>
        <v>0</v>
      </c>
      <c r="L156" s="122"/>
      <c r="M156" s="122"/>
      <c r="N156" s="57">
        <f t="shared" si="52"/>
        <v>0</v>
      </c>
      <c r="O156" s="190"/>
      <c r="P156" s="57">
        <f t="shared" si="53"/>
        <v>0</v>
      </c>
      <c r="Q156" s="148"/>
      <c r="R156" s="57">
        <f t="shared" si="54"/>
        <v>0</v>
      </c>
      <c r="S156" s="143"/>
      <c r="T156" s="121"/>
      <c r="U156" s="57">
        <f t="shared" si="55"/>
        <v>0</v>
      </c>
      <c r="V156" s="121"/>
      <c r="W156" s="57">
        <f t="shared" si="56"/>
        <v>0</v>
      </c>
      <c r="X156" s="121"/>
    </row>
    <row r="157" spans="1:24" s="6" customFormat="1" ht="43.5" customHeight="1">
      <c r="A157" s="5" t="s">
        <v>211</v>
      </c>
      <c r="B157" s="5"/>
      <c r="C157" s="5"/>
      <c r="D157" s="921"/>
      <c r="E157" s="921"/>
      <c r="F157" s="922"/>
      <c r="G157" s="922"/>
      <c r="H157" s="922"/>
      <c r="K157" s="922"/>
    </row>
    <row r="158" spans="1:24" s="6" customFormat="1">
      <c r="A158" s="1748" t="s">
        <v>212</v>
      </c>
      <c r="B158" s="1748"/>
      <c r="C158" s="1748"/>
      <c r="D158" s="1748"/>
      <c r="E158" s="922"/>
      <c r="F158" s="922"/>
      <c r="G158" s="922"/>
      <c r="H158" s="922"/>
      <c r="K158" s="922"/>
    </row>
    <row r="159" spans="1:24" s="6" customFormat="1">
      <c r="A159" s="7"/>
      <c r="D159" s="922"/>
      <c r="E159" s="922"/>
      <c r="F159" s="922"/>
      <c r="G159" s="922"/>
      <c r="H159" s="922"/>
      <c r="K159" s="922"/>
    </row>
    <row r="160" spans="1:24" s="6" customFormat="1">
      <c r="A160" s="5" t="s">
        <v>213</v>
      </c>
      <c r="B160" s="5"/>
      <c r="C160" s="5"/>
      <c r="D160" s="921"/>
      <c r="E160" s="921"/>
      <c r="F160" s="922"/>
      <c r="G160" s="922"/>
      <c r="H160" s="922"/>
      <c r="K160" s="922"/>
    </row>
    <row r="163" ht="6" customHeight="1"/>
  </sheetData>
  <mergeCells count="22">
    <mergeCell ref="A14:A16"/>
    <mergeCell ref="A101:T101"/>
    <mergeCell ref="A158:D158"/>
    <mergeCell ref="U10:V11"/>
    <mergeCell ref="W10:X11"/>
    <mergeCell ref="E11:G11"/>
    <mergeCell ref="H11:J11"/>
    <mergeCell ref="K11:M11"/>
    <mergeCell ref="N11:O11"/>
    <mergeCell ref="P11:Q11"/>
    <mergeCell ref="A10:A12"/>
    <mergeCell ref="B10:B12"/>
    <mergeCell ref="C10:C12"/>
    <mergeCell ref="D10:D12"/>
    <mergeCell ref="E10:Q10"/>
    <mergeCell ref="R10:T11"/>
    <mergeCell ref="A7:M7"/>
    <mergeCell ref="T2:X2"/>
    <mergeCell ref="T3:X3"/>
    <mergeCell ref="T4:X4"/>
    <mergeCell ref="T5:X5"/>
    <mergeCell ref="T6:X6"/>
  </mergeCells>
  <pageMargins left="0.70866141732283472" right="0.31496062992125984" top="0.74803149606299213" bottom="0.35433070866141736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K156"/>
  <sheetViews>
    <sheetView view="pageBreakPreview" topLeftCell="A13" zoomScale="130" zoomScaleSheetLayoutView="130" workbookViewId="0">
      <selection activeCell="A11" sqref="A11:I146"/>
    </sheetView>
  </sheetViews>
  <sheetFormatPr defaultColWidth="8.85546875" defaultRowHeight="12.75"/>
  <cols>
    <col min="1" max="1" width="3" style="268" customWidth="1"/>
    <col min="2" max="2" width="47.7109375" style="268" customWidth="1"/>
    <col min="3" max="3" width="6.28515625" style="268" customWidth="1"/>
    <col min="4" max="4" width="10.28515625" style="355" customWidth="1"/>
    <col min="5" max="5" width="10.5703125" style="355" customWidth="1"/>
    <col min="6" max="6" width="7.7109375" style="574" customWidth="1"/>
    <col min="7" max="7" width="7.85546875" style="574" customWidth="1"/>
    <col min="8" max="8" width="7.7109375" style="290" customWidth="1"/>
    <col min="9" max="9" width="7.5703125" style="290" customWidth="1"/>
    <col min="10" max="16384" width="8.85546875" style="268"/>
  </cols>
  <sheetData>
    <row r="1" spans="1:10" ht="18.75" customHeight="1">
      <c r="E1" s="1762" t="s">
        <v>184</v>
      </c>
      <c r="F1" s="1762"/>
      <c r="G1" s="1762"/>
      <c r="H1" s="1762"/>
      <c r="I1" s="1762"/>
    </row>
    <row r="2" spans="1:10" ht="18.75" customHeight="1">
      <c r="E2" s="1762" t="s">
        <v>185</v>
      </c>
      <c r="F2" s="1762"/>
      <c r="G2" s="1762"/>
      <c r="H2" s="1762"/>
      <c r="I2" s="1762"/>
    </row>
    <row r="3" spans="1:10" ht="18.75" customHeight="1">
      <c r="E3" s="1762" t="s">
        <v>186</v>
      </c>
      <c r="F3" s="1762"/>
      <c r="G3" s="1762"/>
      <c r="H3" s="1762"/>
      <c r="I3" s="1762"/>
    </row>
    <row r="4" spans="1:10" ht="18.75" customHeight="1">
      <c r="E4" s="1762" t="s">
        <v>187</v>
      </c>
      <c r="F4" s="1762"/>
      <c r="G4" s="1762"/>
      <c r="H4" s="1762"/>
      <c r="I4" s="1762"/>
    </row>
    <row r="5" spans="1:10" ht="28.5" customHeight="1">
      <c r="E5" s="1762" t="s">
        <v>210</v>
      </c>
      <c r="F5" s="1762"/>
      <c r="G5" s="1762"/>
      <c r="H5" s="1762"/>
      <c r="I5" s="1762"/>
    </row>
    <row r="8" spans="1:10">
      <c r="A8" s="1758"/>
      <c r="B8" s="1758"/>
      <c r="D8" s="269"/>
      <c r="E8" s="269"/>
      <c r="F8" s="565"/>
      <c r="G8" s="565"/>
      <c r="H8" s="566" t="s">
        <v>214</v>
      </c>
      <c r="I8" s="566"/>
    </row>
    <row r="9" spans="1:10">
      <c r="A9" s="1758"/>
      <c r="B9" s="1758"/>
      <c r="D9" s="269"/>
      <c r="E9" s="269"/>
      <c r="F9" s="565"/>
      <c r="G9" s="565"/>
      <c r="H9" s="567"/>
      <c r="I9" s="567"/>
    </row>
    <row r="10" spans="1:10">
      <c r="A10" s="1759"/>
      <c r="B10" s="1759"/>
      <c r="D10" s="269"/>
      <c r="E10" s="269"/>
      <c r="F10" s="565"/>
      <c r="G10" s="565"/>
      <c r="H10" s="567"/>
      <c r="I10" s="567"/>
    </row>
    <row r="11" spans="1:10" s="356" customFormat="1" ht="15.75">
      <c r="A11" s="1760" t="s">
        <v>297</v>
      </c>
      <c r="B11" s="1760"/>
      <c r="C11" s="1760"/>
      <c r="D11" s="1760"/>
      <c r="E11" s="1760"/>
      <c r="F11" s="1760"/>
      <c r="G11" s="1760"/>
      <c r="H11" s="1760"/>
      <c r="I11" s="1760"/>
    </row>
    <row r="12" spans="1:10" ht="13.5" thickBot="1">
      <c r="A12" s="1183"/>
      <c r="B12" s="1761" t="s">
        <v>312</v>
      </c>
      <c r="C12" s="1761"/>
      <c r="D12" s="1761"/>
      <c r="E12" s="1761"/>
      <c r="F12" s="1761"/>
      <c r="G12" s="1761"/>
      <c r="H12" s="1184"/>
      <c r="I12" s="1184"/>
    </row>
    <row r="13" spans="1:10" ht="63.75" customHeight="1" thickBot="1">
      <c r="A13" s="1185" t="s">
        <v>1</v>
      </c>
      <c r="B13" s="1186" t="s">
        <v>2</v>
      </c>
      <c r="C13" s="1186" t="s">
        <v>3</v>
      </c>
      <c r="D13" s="1187" t="s">
        <v>215</v>
      </c>
      <c r="E13" s="1188" t="s">
        <v>311</v>
      </c>
      <c r="F13" s="1189" t="s">
        <v>193</v>
      </c>
      <c r="G13" s="1190" t="s">
        <v>216</v>
      </c>
      <c r="H13" s="1191"/>
      <c r="I13" s="1192"/>
    </row>
    <row r="14" spans="1:10" ht="13.5" thickBot="1">
      <c r="A14" s="1193"/>
      <c r="B14" s="1194"/>
      <c r="C14" s="1194"/>
      <c r="D14" s="1195"/>
      <c r="E14" s="1196"/>
      <c r="F14" s="1197"/>
      <c r="G14" s="1198" t="s">
        <v>14</v>
      </c>
      <c r="H14" s="1199" t="s">
        <v>15</v>
      </c>
      <c r="I14" s="1199" t="s">
        <v>16</v>
      </c>
    </row>
    <row r="15" spans="1:10" ht="13.5" thickBot="1">
      <c r="A15" s="1200" t="s">
        <v>19</v>
      </c>
      <c r="B15" s="1201" t="s">
        <v>20</v>
      </c>
      <c r="C15" s="1202" t="s">
        <v>21</v>
      </c>
      <c r="D15" s="1203">
        <v>57372.765899999999</v>
      </c>
      <c r="E15" s="1204">
        <f>G15</f>
        <v>6992.2960000000003</v>
      </c>
      <c r="F15" s="1205">
        <f>E15/D15*100</f>
        <v>12.187482841924483</v>
      </c>
      <c r="G15" s="1205">
        <f>H15+I15</f>
        <v>6992.2960000000003</v>
      </c>
      <c r="H15" s="1205">
        <f>6151.209-0.65</f>
        <v>6150.5590000000002</v>
      </c>
      <c r="I15" s="1205">
        <f>841.737</f>
        <v>841.73699999999997</v>
      </c>
    </row>
    <row r="16" spans="1:10" s="287" customFormat="1" ht="23.25" thickBot="1">
      <c r="A16" s="1206">
        <v>1</v>
      </c>
      <c r="B16" s="1207" t="s">
        <v>22</v>
      </c>
      <c r="C16" s="1208" t="s">
        <v>33</v>
      </c>
      <c r="D16" s="1209">
        <v>78</v>
      </c>
      <c r="E16" s="1205">
        <f t="shared" ref="E16:E79" si="0">G16</f>
        <v>71</v>
      </c>
      <c r="F16" s="1205">
        <f t="shared" ref="F16:F79" si="1">E16/D16*100</f>
        <v>91.025641025641022</v>
      </c>
      <c r="G16" s="1205">
        <f t="shared" ref="G16:G79" si="2">H16+I16</f>
        <v>71</v>
      </c>
      <c r="H16" s="1205">
        <v>70</v>
      </c>
      <c r="I16" s="1205">
        <v>1</v>
      </c>
      <c r="J16" s="268"/>
    </row>
    <row r="17" spans="1:10" s="290" customFormat="1" ht="13.5" thickBot="1">
      <c r="A17" s="1210"/>
      <c r="B17" s="1211"/>
      <c r="C17" s="1212" t="s">
        <v>24</v>
      </c>
      <c r="D17" s="1213">
        <v>3.9447000000000001</v>
      </c>
      <c r="E17" s="1214">
        <f t="shared" si="0"/>
        <v>0.44700000000000001</v>
      </c>
      <c r="F17" s="1205">
        <f t="shared" si="1"/>
        <v>11.331660202296751</v>
      </c>
      <c r="G17" s="1205">
        <f t="shared" si="2"/>
        <v>0.44700000000000001</v>
      </c>
      <c r="H17" s="1205">
        <f>0.082+0.363</f>
        <v>0.44500000000000001</v>
      </c>
      <c r="I17" s="1205">
        <v>2E-3</v>
      </c>
      <c r="J17" s="268"/>
    </row>
    <row r="18" spans="1:10" s="290" customFormat="1" ht="13.5" thickBot="1">
      <c r="A18" s="1215"/>
      <c r="B18" s="1216" t="s">
        <v>25</v>
      </c>
      <c r="C18" s="1212" t="s">
        <v>21</v>
      </c>
      <c r="D18" s="1213">
        <v>1927.7079999999996</v>
      </c>
      <c r="E18" s="1214">
        <f t="shared" si="0"/>
        <v>422.233</v>
      </c>
      <c r="F18" s="1205">
        <f t="shared" si="1"/>
        <v>21.903369182469547</v>
      </c>
      <c r="G18" s="1205">
        <f t="shared" si="2"/>
        <v>422.233</v>
      </c>
      <c r="H18" s="1205">
        <f>H20+H22</f>
        <v>421.649</v>
      </c>
      <c r="I18" s="1205">
        <v>0.58399999999999996</v>
      </c>
      <c r="J18" s="268"/>
    </row>
    <row r="19" spans="1:10" s="290" customFormat="1" ht="13.5" thickBot="1">
      <c r="A19" s="1766" t="s">
        <v>26</v>
      </c>
      <c r="B19" s="1767" t="s">
        <v>27</v>
      </c>
      <c r="C19" s="1217" t="s">
        <v>24</v>
      </c>
      <c r="D19" s="1218">
        <v>1.4177</v>
      </c>
      <c r="E19" s="1205">
        <f t="shared" si="0"/>
        <v>0.11700000000000001</v>
      </c>
      <c r="F19" s="1205">
        <f t="shared" si="1"/>
        <v>8.2528038372011014</v>
      </c>
      <c r="G19" s="1205">
        <f t="shared" si="2"/>
        <v>0.11700000000000001</v>
      </c>
      <c r="H19" s="1205">
        <v>0.11700000000000001</v>
      </c>
      <c r="I19" s="1205">
        <f>'6 месяцев'!J17+'6 месяцев'!M17+'июль (2)'!J17+'июль (2)'!M17</f>
        <v>0</v>
      </c>
      <c r="J19" s="268"/>
    </row>
    <row r="20" spans="1:10" s="290" customFormat="1" ht="13.5" thickBot="1">
      <c r="A20" s="1766"/>
      <c r="B20" s="1767"/>
      <c r="C20" s="1217" t="s">
        <v>21</v>
      </c>
      <c r="D20" s="1218">
        <v>411.50799999999987</v>
      </c>
      <c r="E20" s="1205">
        <f t="shared" si="0"/>
        <v>259.048</v>
      </c>
      <c r="F20" s="1205">
        <f t="shared" si="1"/>
        <v>62.950902534094134</v>
      </c>
      <c r="G20" s="1205">
        <f t="shared" si="2"/>
        <v>259.048</v>
      </c>
      <c r="H20" s="1205">
        <v>259.048</v>
      </c>
      <c r="I20" s="1205">
        <f>'6 месяцев'!J18+'6 месяцев'!M18+'июль (2)'!J18+'июль (2)'!M18</f>
        <v>0</v>
      </c>
      <c r="J20" s="268"/>
    </row>
    <row r="21" spans="1:10" s="290" customFormat="1" ht="13.5" thickBot="1">
      <c r="A21" s="1768" t="s">
        <v>28</v>
      </c>
      <c r="B21" s="1767" t="s">
        <v>29</v>
      </c>
      <c r="C21" s="1217" t="s">
        <v>24</v>
      </c>
      <c r="D21" s="1218">
        <v>2.5270000000000001</v>
      </c>
      <c r="E21" s="1205">
        <f t="shared" si="0"/>
        <v>0.33029999999999998</v>
      </c>
      <c r="F21" s="1205">
        <f t="shared" si="1"/>
        <v>13.070834982192322</v>
      </c>
      <c r="G21" s="1205">
        <f t="shared" si="2"/>
        <v>0.33029999999999998</v>
      </c>
      <c r="H21" s="1205">
        <v>0.32829999999999998</v>
      </c>
      <c r="I21" s="1205">
        <v>2E-3</v>
      </c>
      <c r="J21" s="268"/>
    </row>
    <row r="22" spans="1:10" s="290" customFormat="1" ht="13.5" thickBot="1">
      <c r="A22" s="1768"/>
      <c r="B22" s="1767"/>
      <c r="C22" s="1217" t="s">
        <v>21</v>
      </c>
      <c r="D22" s="1218">
        <v>1516.1999999999998</v>
      </c>
      <c r="E22" s="1205">
        <f t="shared" si="0"/>
        <v>163.185</v>
      </c>
      <c r="F22" s="1205">
        <f t="shared" si="1"/>
        <v>10.762762168579345</v>
      </c>
      <c r="G22" s="1205">
        <f t="shared" si="2"/>
        <v>163.185</v>
      </c>
      <c r="H22" s="1205">
        <v>162.601</v>
      </c>
      <c r="I22" s="1205">
        <v>0.58399999999999996</v>
      </c>
      <c r="J22" s="268"/>
    </row>
    <row r="23" spans="1:10" s="290" customFormat="1" ht="13.5" thickBot="1">
      <c r="A23" s="1219" t="s">
        <v>217</v>
      </c>
      <c r="B23" s="1220" t="s">
        <v>31</v>
      </c>
      <c r="C23" s="1221" t="s">
        <v>21</v>
      </c>
      <c r="D23" s="1222">
        <v>0</v>
      </c>
      <c r="E23" s="1205">
        <f t="shared" si="0"/>
        <v>0</v>
      </c>
      <c r="F23" s="1205">
        <v>0</v>
      </c>
      <c r="G23" s="1205">
        <f t="shared" si="2"/>
        <v>0</v>
      </c>
      <c r="H23" s="1205">
        <f>'6 месяцев'!I21+'6 месяцев'!L21+'июль (2)'!I21+'июль (2)'!L21</f>
        <v>0</v>
      </c>
      <c r="I23" s="1205">
        <f>'6 месяцев'!J21+'6 месяцев'!M21+'июль (2)'!J21+'июль (2)'!M21</f>
        <v>0</v>
      </c>
      <c r="J23" s="268"/>
    </row>
    <row r="24" spans="1:10" s="290" customFormat="1" ht="23.25" thickBot="1">
      <c r="A24" s="1769" t="s">
        <v>218</v>
      </c>
      <c r="B24" s="1770" t="s">
        <v>219</v>
      </c>
      <c r="C24" s="1223" t="s">
        <v>33</v>
      </c>
      <c r="D24" s="1224">
        <v>6</v>
      </c>
      <c r="E24" s="1205">
        <f t="shared" si="0"/>
        <v>5</v>
      </c>
      <c r="F24" s="1205">
        <f t="shared" si="1"/>
        <v>83.333333333333343</v>
      </c>
      <c r="G24" s="1205">
        <f t="shared" si="2"/>
        <v>5</v>
      </c>
      <c r="H24" s="1205">
        <v>5</v>
      </c>
      <c r="I24" s="1205">
        <f>'6 месяцев'!J22+'6 месяцев'!M22+'июль (2)'!J22+'июль (2)'!M22</f>
        <v>0</v>
      </c>
      <c r="J24" s="268"/>
    </row>
    <row r="25" spans="1:10" s="290" customFormat="1" ht="13.5" thickBot="1">
      <c r="A25" s="1763"/>
      <c r="B25" s="1771"/>
      <c r="C25" s="1225" t="s">
        <v>21</v>
      </c>
      <c r="D25" s="1213">
        <v>1866.1920000000002</v>
      </c>
      <c r="E25" s="1214">
        <f t="shared" si="0"/>
        <v>1397.5060000000001</v>
      </c>
      <c r="F25" s="1205">
        <f t="shared" si="1"/>
        <v>74.885435153510457</v>
      </c>
      <c r="G25" s="1205">
        <f t="shared" si="2"/>
        <v>1397.5060000000001</v>
      </c>
      <c r="H25" s="1205">
        <v>1397.5060000000001</v>
      </c>
      <c r="I25" s="1205">
        <f>'6 месяцев'!J23+'6 месяцев'!M23+'июль (2)'!J23+'июль (2)'!M23</f>
        <v>0</v>
      </c>
      <c r="J25" s="268"/>
    </row>
    <row r="26" spans="1:10" s="290" customFormat="1" ht="13.5" thickBot="1">
      <c r="A26" s="1763" t="s">
        <v>35</v>
      </c>
      <c r="B26" s="1764" t="s">
        <v>36</v>
      </c>
      <c r="C26" s="1217" t="s">
        <v>220</v>
      </c>
      <c r="D26" s="1218">
        <v>227.12</v>
      </c>
      <c r="E26" s="1205">
        <f t="shared" si="0"/>
        <v>141.453</v>
      </c>
      <c r="F26" s="1205">
        <f t="shared" si="1"/>
        <v>62.281172948221212</v>
      </c>
      <c r="G26" s="1205">
        <f t="shared" si="2"/>
        <v>141.453</v>
      </c>
      <c r="H26" s="1205">
        <v>141.453</v>
      </c>
      <c r="I26" s="1205">
        <f>'6 месяцев'!J24+'6 месяцев'!M24+'июль (2)'!J24+'июль (2)'!M24</f>
        <v>0</v>
      </c>
      <c r="J26" s="268"/>
    </row>
    <row r="27" spans="1:10" s="290" customFormat="1" ht="13.5" thickBot="1">
      <c r="A27" s="1763"/>
      <c r="B27" s="1764"/>
      <c r="C27" s="1217" t="s">
        <v>21</v>
      </c>
      <c r="D27" s="1218">
        <v>1247.5320000000002</v>
      </c>
      <c r="E27" s="1205">
        <f t="shared" si="0"/>
        <v>865.51900000000001</v>
      </c>
      <c r="F27" s="1205">
        <f t="shared" si="1"/>
        <v>69.378500912201048</v>
      </c>
      <c r="G27" s="1205">
        <f t="shared" si="2"/>
        <v>865.51900000000001</v>
      </c>
      <c r="H27" s="1205">
        <v>865.51900000000001</v>
      </c>
      <c r="I27" s="1205">
        <f>'6 месяцев'!J25+'6 месяцев'!M25+'июль (2)'!J25+'июль (2)'!M25</f>
        <v>0</v>
      </c>
      <c r="J27" s="268"/>
    </row>
    <row r="28" spans="1:10" s="290" customFormat="1" ht="13.5" thickBot="1">
      <c r="A28" s="1763" t="s">
        <v>38</v>
      </c>
      <c r="B28" s="1765" t="s">
        <v>221</v>
      </c>
      <c r="C28" s="1217" t="s">
        <v>222</v>
      </c>
      <c r="D28" s="1218">
        <v>452</v>
      </c>
      <c r="E28" s="1205">
        <f t="shared" si="0"/>
        <v>423.2</v>
      </c>
      <c r="F28" s="1205">
        <f t="shared" si="1"/>
        <v>93.628318584070797</v>
      </c>
      <c r="G28" s="1205">
        <f t="shared" si="2"/>
        <v>423.2</v>
      </c>
      <c r="H28" s="1205">
        <v>423.2</v>
      </c>
      <c r="I28" s="1205">
        <f>'6 месяцев'!J26+'6 месяцев'!M26+'июль (2)'!J26+'июль (2)'!M26</f>
        <v>0</v>
      </c>
      <c r="J28" s="268"/>
    </row>
    <row r="29" spans="1:10" s="290" customFormat="1" ht="13.5" thickBot="1">
      <c r="A29" s="1763"/>
      <c r="B29" s="1765"/>
      <c r="C29" s="1217" t="s">
        <v>21</v>
      </c>
      <c r="D29" s="1218">
        <v>566.60500000000002</v>
      </c>
      <c r="E29" s="1205">
        <f t="shared" si="0"/>
        <v>476.90300000000002</v>
      </c>
      <c r="F29" s="1205">
        <f t="shared" si="1"/>
        <v>84.168512455767242</v>
      </c>
      <c r="G29" s="1205">
        <f t="shared" si="2"/>
        <v>476.90300000000002</v>
      </c>
      <c r="H29" s="1205">
        <v>476.90300000000002</v>
      </c>
      <c r="I29" s="1205">
        <f>'6 месяцев'!J27+'6 месяцев'!M27+'июль (2)'!J27+'июль (2)'!M27</f>
        <v>0</v>
      </c>
      <c r="J29" s="268"/>
    </row>
    <row r="30" spans="1:10" s="290" customFormat="1" ht="13.5" thickBot="1">
      <c r="A30" s="1763" t="s">
        <v>42</v>
      </c>
      <c r="B30" s="1765" t="s">
        <v>223</v>
      </c>
      <c r="C30" s="1217" t="s">
        <v>222</v>
      </c>
      <c r="D30" s="1218">
        <v>0</v>
      </c>
      <c r="E30" s="1205">
        <f t="shared" si="0"/>
        <v>0</v>
      </c>
      <c r="F30" s="1205">
        <v>0</v>
      </c>
      <c r="G30" s="1205">
        <f t="shared" si="2"/>
        <v>0</v>
      </c>
      <c r="H30" s="1205">
        <f>'6 месяцев'!I28+'6 месяцев'!L28+'июль (2)'!I28+'июль (2)'!L28</f>
        <v>0</v>
      </c>
      <c r="I30" s="1205">
        <f>'6 месяцев'!J28+'6 месяцев'!M28+'июль (2)'!J28+'июль (2)'!M28</f>
        <v>0</v>
      </c>
      <c r="J30" s="268"/>
    </row>
    <row r="31" spans="1:10" s="290" customFormat="1" ht="13.5" thickBot="1">
      <c r="A31" s="1763"/>
      <c r="B31" s="1765"/>
      <c r="C31" s="1217" t="s">
        <v>21</v>
      </c>
      <c r="D31" s="1218">
        <v>0</v>
      </c>
      <c r="E31" s="1205">
        <f t="shared" si="0"/>
        <v>0</v>
      </c>
      <c r="F31" s="1205">
        <v>0</v>
      </c>
      <c r="G31" s="1205">
        <f t="shared" si="2"/>
        <v>0</v>
      </c>
      <c r="H31" s="1205">
        <f>'6 месяцев'!I29+'6 месяцев'!L29+'июль (2)'!I29+'июль (2)'!L29</f>
        <v>0</v>
      </c>
      <c r="I31" s="1205">
        <f>'6 месяцев'!J29+'6 месяцев'!M29+'июль (2)'!J29+'июль (2)'!M29</f>
        <v>0</v>
      </c>
      <c r="J31" s="268"/>
    </row>
    <row r="32" spans="1:10" s="290" customFormat="1" ht="13.5" thickBot="1">
      <c r="A32" s="1763" t="s">
        <v>45</v>
      </c>
      <c r="B32" s="1764" t="s">
        <v>46</v>
      </c>
      <c r="C32" s="1217" t="s">
        <v>47</v>
      </c>
      <c r="D32" s="1218">
        <v>0</v>
      </c>
      <c r="E32" s="1205">
        <f t="shared" si="0"/>
        <v>0</v>
      </c>
      <c r="F32" s="1205">
        <v>0</v>
      </c>
      <c r="G32" s="1205">
        <f t="shared" si="2"/>
        <v>0</v>
      </c>
      <c r="H32" s="1205">
        <f>'6 месяцев'!I30+'6 месяцев'!L30+'июль (2)'!I30+'июль (2)'!L30</f>
        <v>0</v>
      </c>
      <c r="I32" s="1205">
        <f>'6 месяцев'!J30+'6 месяцев'!M30+'июль (2)'!J30+'июль (2)'!M30</f>
        <v>0</v>
      </c>
      <c r="J32" s="268"/>
    </row>
    <row r="33" spans="1:10" s="290" customFormat="1" ht="13.5" thickBot="1">
      <c r="A33" s="1763"/>
      <c r="B33" s="1764"/>
      <c r="C33" s="1217" t="s">
        <v>21</v>
      </c>
      <c r="D33" s="1218">
        <v>0</v>
      </c>
      <c r="E33" s="1205">
        <f t="shared" si="0"/>
        <v>0</v>
      </c>
      <c r="F33" s="1205">
        <v>0</v>
      </c>
      <c r="G33" s="1205">
        <f t="shared" si="2"/>
        <v>0</v>
      </c>
      <c r="H33" s="1205">
        <f>'6 месяцев'!I31+'6 месяцев'!L31+'июль (2)'!I31+'июль (2)'!L31</f>
        <v>0</v>
      </c>
      <c r="I33" s="1205">
        <f>'6 месяцев'!J31+'6 месяцев'!M31+'июль (2)'!J31+'июль (2)'!M31</f>
        <v>0</v>
      </c>
      <c r="J33" s="268"/>
    </row>
    <row r="34" spans="1:10" s="290" customFormat="1" ht="13.5" thickBot="1">
      <c r="A34" s="1226" t="s">
        <v>48</v>
      </c>
      <c r="B34" s="1227" t="s">
        <v>224</v>
      </c>
      <c r="C34" s="1228" t="s">
        <v>21</v>
      </c>
      <c r="D34" s="1229">
        <v>52.054999999999986</v>
      </c>
      <c r="E34" s="1205">
        <f t="shared" si="0"/>
        <v>55.084000000000003</v>
      </c>
      <c r="F34" s="1205">
        <f t="shared" si="1"/>
        <v>105.81884545192588</v>
      </c>
      <c r="G34" s="1205">
        <f t="shared" si="2"/>
        <v>55.084000000000003</v>
      </c>
      <c r="H34" s="1205">
        <v>55.084000000000003</v>
      </c>
      <c r="I34" s="1205">
        <f>'6 месяцев'!J32+'6 месяцев'!M32+'июль (2)'!J32+'июль (2)'!M32</f>
        <v>0</v>
      </c>
      <c r="J34" s="268"/>
    </row>
    <row r="35" spans="1:10" s="290" customFormat="1" ht="13.5" thickBot="1">
      <c r="A35" s="1772" t="s">
        <v>119</v>
      </c>
      <c r="B35" s="1781" t="s">
        <v>225</v>
      </c>
      <c r="C35" s="1230" t="s">
        <v>51</v>
      </c>
      <c r="D35" s="1231">
        <v>3.7</v>
      </c>
      <c r="E35" s="1205">
        <f t="shared" si="0"/>
        <v>1.9019999999999999</v>
      </c>
      <c r="F35" s="1205">
        <f t="shared" si="1"/>
        <v>51.405405405405403</v>
      </c>
      <c r="G35" s="1205">
        <f t="shared" si="2"/>
        <v>1.9019999999999999</v>
      </c>
      <c r="H35" s="1205">
        <v>1.9019999999999999</v>
      </c>
      <c r="I35" s="1205">
        <f>'6 месяцев'!J33+'6 месяцев'!M33+'июль (2)'!J33+'июль (2)'!M33</f>
        <v>0</v>
      </c>
      <c r="J35" s="268"/>
    </row>
    <row r="36" spans="1:10" s="290" customFormat="1" ht="13.5" thickBot="1">
      <c r="A36" s="1773"/>
      <c r="B36" s="1782"/>
      <c r="C36" s="1232" t="s">
        <v>21</v>
      </c>
      <c r="D36" s="1233">
        <v>2400</v>
      </c>
      <c r="E36" s="1205">
        <f t="shared" si="0"/>
        <v>1180.346</v>
      </c>
      <c r="F36" s="1205">
        <f t="shared" si="1"/>
        <v>49.181083333333333</v>
      </c>
      <c r="G36" s="1205">
        <f t="shared" si="2"/>
        <v>1180.346</v>
      </c>
      <c r="H36" s="1205">
        <v>1180.346</v>
      </c>
      <c r="I36" s="1205">
        <f>'6 месяцев'!J34+'6 месяцев'!M34+'июль (2)'!J34+'июль (2)'!M34</f>
        <v>0</v>
      </c>
      <c r="J36" s="268"/>
    </row>
    <row r="37" spans="1:10" s="290" customFormat="1" ht="13.5" thickBot="1">
      <c r="A37" s="1777" t="s">
        <v>121</v>
      </c>
      <c r="B37" s="1783" t="s">
        <v>53</v>
      </c>
      <c r="C37" s="1234" t="s">
        <v>24</v>
      </c>
      <c r="D37" s="1235">
        <v>6.0336499999999873</v>
      </c>
      <c r="E37" s="1205">
        <f t="shared" si="0"/>
        <v>0.39800000000000002</v>
      </c>
      <c r="F37" s="1205">
        <f t="shared" si="1"/>
        <v>6.5963388661921201</v>
      </c>
      <c r="G37" s="1205">
        <f t="shared" si="2"/>
        <v>0.39800000000000002</v>
      </c>
      <c r="H37" s="1205">
        <v>0.39800000000000002</v>
      </c>
      <c r="I37" s="1205">
        <f>'6 месяцев'!J35+'6 месяцев'!M35+'июль (2)'!J35+'июль (2)'!M35</f>
        <v>0</v>
      </c>
      <c r="J37" s="268"/>
    </row>
    <row r="38" spans="1:10" s="290" customFormat="1" ht="13.5" thickBot="1">
      <c r="A38" s="1778"/>
      <c r="B38" s="1784"/>
      <c r="C38" s="1228" t="s">
        <v>21</v>
      </c>
      <c r="D38" s="1229">
        <v>10556.737500000001</v>
      </c>
      <c r="E38" s="1205">
        <f t="shared" si="0"/>
        <v>286.35700000000003</v>
      </c>
      <c r="F38" s="1205">
        <f t="shared" si="1"/>
        <v>2.7125520550264701</v>
      </c>
      <c r="G38" s="1205">
        <f t="shared" si="2"/>
        <v>286.35700000000003</v>
      </c>
      <c r="H38" s="1205">
        <v>286.35700000000003</v>
      </c>
      <c r="I38" s="1205">
        <f>'6 месяцев'!J36+'6 месяцев'!M36+'июль (2)'!J36+'июль (2)'!M36</f>
        <v>0</v>
      </c>
      <c r="J38" s="268"/>
    </row>
    <row r="39" spans="1:10" s="290" customFormat="1" ht="13.5" thickBot="1">
      <c r="A39" s="1772" t="s">
        <v>124</v>
      </c>
      <c r="B39" s="1774" t="s">
        <v>226</v>
      </c>
      <c r="C39" s="1230" t="s">
        <v>24</v>
      </c>
      <c r="D39" s="1231">
        <v>64.735100000000031</v>
      </c>
      <c r="E39" s="1205">
        <f t="shared" si="0"/>
        <v>2.1928000000000001</v>
      </c>
      <c r="F39" s="1205">
        <f t="shared" si="1"/>
        <v>3.3873431878532654</v>
      </c>
      <c r="G39" s="1205">
        <f t="shared" si="2"/>
        <v>2.1928000000000001</v>
      </c>
      <c r="H39" s="1205">
        <f>'6 месяцев'!I37+'6 месяцев'!L37+'июль (2)'!I37+'июль (2)'!L37</f>
        <v>2.1928000000000001</v>
      </c>
      <c r="I39" s="1205">
        <f>'6 месяцев'!J37+'6 месяцев'!M37+'июль (2)'!J37+'июль (2)'!M37</f>
        <v>0</v>
      </c>
      <c r="J39" s="268"/>
    </row>
    <row r="40" spans="1:10" s="290" customFormat="1" ht="13.5" thickBot="1">
      <c r="A40" s="1766"/>
      <c r="B40" s="1775"/>
      <c r="C40" s="1217" t="s">
        <v>56</v>
      </c>
      <c r="D40" s="1218">
        <v>190</v>
      </c>
      <c r="E40" s="1205">
        <f t="shared" si="0"/>
        <v>6</v>
      </c>
      <c r="F40" s="1205">
        <f t="shared" si="1"/>
        <v>3.1578947368421053</v>
      </c>
      <c r="G40" s="1205">
        <f t="shared" si="2"/>
        <v>6</v>
      </c>
      <c r="H40" s="1205">
        <f>'6 месяцев'!I38+'6 месяцев'!L38+'июль (2)'!I38+'июль (2)'!L38</f>
        <v>6</v>
      </c>
      <c r="I40" s="1205">
        <f>'6 месяцев'!J38+'6 месяцев'!M38+'июль (2)'!J38+'июль (2)'!M38</f>
        <v>0</v>
      </c>
      <c r="J40" s="268"/>
    </row>
    <row r="41" spans="1:10" s="290" customFormat="1" ht="13.5" thickBot="1">
      <c r="A41" s="1773"/>
      <c r="B41" s="1776"/>
      <c r="C41" s="1232" t="s">
        <v>21</v>
      </c>
      <c r="D41" s="1233">
        <v>28894.864399999999</v>
      </c>
      <c r="E41" s="1205">
        <f t="shared" si="0"/>
        <v>728.46599999999989</v>
      </c>
      <c r="F41" s="1205">
        <f t="shared" si="1"/>
        <v>2.5210916027001669</v>
      </c>
      <c r="G41" s="1205">
        <f t="shared" si="2"/>
        <v>728.46599999999989</v>
      </c>
      <c r="H41" s="1205">
        <f>'6 месяцев'!I39+'6 месяцев'!L39+'июль (2)'!I39+'июль (2)'!L39</f>
        <v>728.46599999999989</v>
      </c>
      <c r="I41" s="1205">
        <f>'6 месяцев'!J39+'6 месяцев'!M39+'июль (2)'!J39+'июль (2)'!M39</f>
        <v>0</v>
      </c>
      <c r="J41" s="268"/>
    </row>
    <row r="42" spans="1:10" s="290" customFormat="1" ht="13.5" thickBot="1">
      <c r="A42" s="1777" t="s">
        <v>126</v>
      </c>
      <c r="B42" s="1779" t="s">
        <v>58</v>
      </c>
      <c r="C42" s="1234" t="s">
        <v>24</v>
      </c>
      <c r="D42" s="1235">
        <v>0.1</v>
      </c>
      <c r="E42" s="1205">
        <f t="shared" si="0"/>
        <v>0.125</v>
      </c>
      <c r="F42" s="1205">
        <f t="shared" si="1"/>
        <v>125</v>
      </c>
      <c r="G42" s="1205">
        <f t="shared" si="2"/>
        <v>0.125</v>
      </c>
      <c r="H42" s="1205">
        <v>0.125</v>
      </c>
      <c r="I42" s="1205">
        <f>'6 месяцев'!J40+'6 месяцев'!M40+'июль (2)'!J40+'июль (2)'!M40</f>
        <v>0</v>
      </c>
      <c r="J42" s="268"/>
    </row>
    <row r="43" spans="1:10" s="290" customFormat="1" ht="13.5" thickBot="1">
      <c r="A43" s="1778"/>
      <c r="B43" s="1780"/>
      <c r="C43" s="1228" t="s">
        <v>21</v>
      </c>
      <c r="D43" s="1229">
        <v>40</v>
      </c>
      <c r="E43" s="1205">
        <f t="shared" si="0"/>
        <v>18.21</v>
      </c>
      <c r="F43" s="1205">
        <f t="shared" si="1"/>
        <v>45.525000000000006</v>
      </c>
      <c r="G43" s="1205">
        <f t="shared" si="2"/>
        <v>18.21</v>
      </c>
      <c r="H43" s="1205">
        <v>18.21</v>
      </c>
      <c r="I43" s="1205">
        <f>'6 месяцев'!J41+'6 месяцев'!M41+'июль (2)'!J41+'июль (2)'!M41</f>
        <v>0</v>
      </c>
      <c r="J43" s="268"/>
    </row>
    <row r="44" spans="1:10" s="290" customFormat="1" ht="13.5" thickBot="1">
      <c r="A44" s="1772" t="s">
        <v>227</v>
      </c>
      <c r="B44" s="1774" t="s">
        <v>228</v>
      </c>
      <c r="C44" s="1230" t="s">
        <v>24</v>
      </c>
      <c r="D44" s="1231">
        <v>0.3</v>
      </c>
      <c r="E44" s="1205">
        <f t="shared" si="0"/>
        <v>0.218</v>
      </c>
      <c r="F44" s="1205">
        <f t="shared" si="1"/>
        <v>72.666666666666671</v>
      </c>
      <c r="G44" s="1205">
        <f t="shared" si="2"/>
        <v>0.218</v>
      </c>
      <c r="H44" s="1205">
        <f>0.213</f>
        <v>0.21299999999999999</v>
      </c>
      <c r="I44" s="1205">
        <f>'6 месяцев'!J42+'6 месяцев'!M42+'июль (2)'!J42+'июль (2)'!M42</f>
        <v>5.0000000000000001E-3</v>
      </c>
      <c r="J44" s="268"/>
    </row>
    <row r="45" spans="1:10" s="290" customFormat="1" ht="13.5" thickBot="1">
      <c r="A45" s="1778"/>
      <c r="B45" s="1780"/>
      <c r="C45" s="1228" t="s">
        <v>21</v>
      </c>
      <c r="D45" s="1229">
        <v>360</v>
      </c>
      <c r="E45" s="1205">
        <f t="shared" si="0"/>
        <v>251.643</v>
      </c>
      <c r="F45" s="1205">
        <f t="shared" si="1"/>
        <v>69.900833333333338</v>
      </c>
      <c r="G45" s="1205">
        <f t="shared" si="2"/>
        <v>251.643</v>
      </c>
      <c r="H45" s="1205">
        <f>221.731</f>
        <v>221.73099999999999</v>
      </c>
      <c r="I45" s="1205">
        <f>'6 месяцев'!J43+'6 месяцев'!M43+'июль (2)'!J43+'июль (2)'!M43</f>
        <v>29.911999999999999</v>
      </c>
      <c r="J45" s="268"/>
    </row>
    <row r="46" spans="1:10" s="290" customFormat="1" ht="13.5" thickBot="1">
      <c r="A46" s="1772" t="s">
        <v>229</v>
      </c>
      <c r="B46" s="1781" t="s">
        <v>230</v>
      </c>
      <c r="C46" s="1230" t="s">
        <v>47</v>
      </c>
      <c r="D46" s="1231">
        <v>90</v>
      </c>
      <c r="E46" s="1205">
        <f t="shared" si="0"/>
        <v>96</v>
      </c>
      <c r="F46" s="1205">
        <f t="shared" si="1"/>
        <v>106.66666666666667</v>
      </c>
      <c r="G46" s="1205">
        <f t="shared" si="2"/>
        <v>96</v>
      </c>
      <c r="H46" s="1205">
        <v>96</v>
      </c>
      <c r="I46" s="1205">
        <f>'6 месяцев'!J44+'6 месяцев'!M44+'июль (2)'!J44+'июль (2)'!M44</f>
        <v>0</v>
      </c>
      <c r="J46" s="268"/>
    </row>
    <row r="47" spans="1:10" s="290" customFormat="1" ht="13.5" thickBot="1">
      <c r="A47" s="1773"/>
      <c r="B47" s="1782"/>
      <c r="C47" s="1232" t="s">
        <v>21</v>
      </c>
      <c r="D47" s="1233">
        <v>60</v>
      </c>
      <c r="E47" s="1205">
        <f t="shared" si="0"/>
        <v>97.905000000000001</v>
      </c>
      <c r="F47" s="1205">
        <f t="shared" si="1"/>
        <v>163.17500000000001</v>
      </c>
      <c r="G47" s="1205">
        <f t="shared" si="2"/>
        <v>97.905000000000001</v>
      </c>
      <c r="H47" s="1205">
        <f>97.905</f>
        <v>97.905000000000001</v>
      </c>
      <c r="I47" s="1205">
        <f>'6 месяцев'!J45+'6 месяцев'!M45+'июль (2)'!J45+'июль (2)'!M45</f>
        <v>0</v>
      </c>
      <c r="J47" s="268"/>
    </row>
    <row r="48" spans="1:10" s="290" customFormat="1" ht="13.5" thickBot="1">
      <c r="A48" s="1777" t="s">
        <v>231</v>
      </c>
      <c r="B48" s="1789" t="s">
        <v>232</v>
      </c>
      <c r="C48" s="1234" t="s">
        <v>47</v>
      </c>
      <c r="D48" s="1235">
        <v>0</v>
      </c>
      <c r="E48" s="1205">
        <f t="shared" si="0"/>
        <v>0</v>
      </c>
      <c r="F48" s="1205">
        <v>0</v>
      </c>
      <c r="G48" s="1205">
        <f t="shared" si="2"/>
        <v>0</v>
      </c>
      <c r="H48" s="1205">
        <f>'6 месяцев'!I46+'6 месяцев'!L46+'июль (2)'!I46+'июль (2)'!L46</f>
        <v>0</v>
      </c>
      <c r="I48" s="1205">
        <f>'6 месяцев'!J46+'6 месяцев'!M46+'июль (2)'!J46+'июль (2)'!M46</f>
        <v>0</v>
      </c>
      <c r="J48" s="268"/>
    </row>
    <row r="49" spans="1:10" s="290" customFormat="1" ht="13.5" thickBot="1">
      <c r="A49" s="1778"/>
      <c r="B49" s="1790"/>
      <c r="C49" s="1228" t="s">
        <v>21</v>
      </c>
      <c r="D49" s="1229">
        <v>0</v>
      </c>
      <c r="E49" s="1205">
        <f t="shared" si="0"/>
        <v>0</v>
      </c>
      <c r="F49" s="1205">
        <v>0</v>
      </c>
      <c r="G49" s="1205">
        <f t="shared" si="2"/>
        <v>0</v>
      </c>
      <c r="H49" s="1205">
        <f>'6 месяцев'!I47+'6 месяцев'!L47+'июль (2)'!I47+'июль (2)'!L47</f>
        <v>0</v>
      </c>
      <c r="I49" s="1205">
        <f>'6 месяцев'!J47+'6 месяцев'!M47+'июль (2)'!J47+'июль (2)'!M47</f>
        <v>0</v>
      </c>
      <c r="J49" s="268"/>
    </row>
    <row r="50" spans="1:10" s="290" customFormat="1" ht="13.5" thickBot="1">
      <c r="A50" s="1772" t="s">
        <v>136</v>
      </c>
      <c r="B50" s="1791" t="s">
        <v>233</v>
      </c>
      <c r="C50" s="1230" t="s">
        <v>51</v>
      </c>
      <c r="D50" s="1231">
        <v>1.6666666666666667</v>
      </c>
      <c r="E50" s="1205">
        <f t="shared" si="0"/>
        <v>4.0000000000000001E-3</v>
      </c>
      <c r="F50" s="1205">
        <f t="shared" si="1"/>
        <v>0.24</v>
      </c>
      <c r="G50" s="1205">
        <f t="shared" si="2"/>
        <v>4.0000000000000001E-3</v>
      </c>
      <c r="H50" s="1205">
        <f>'6 месяцев'!I48+'6 месяцев'!L48+'июль (2)'!I48+'июль (2)'!L48</f>
        <v>4.0000000000000001E-3</v>
      </c>
      <c r="I50" s="1205">
        <f>'6 месяцев'!J48+'6 месяцев'!M48+'июль (2)'!J48+'июль (2)'!M48</f>
        <v>0</v>
      </c>
      <c r="J50" s="268"/>
    </row>
    <row r="51" spans="1:10" s="290" customFormat="1" ht="13.5" thickBot="1">
      <c r="A51" s="1773"/>
      <c r="B51" s="1792"/>
      <c r="C51" s="1232" t="s">
        <v>21</v>
      </c>
      <c r="D51" s="1233">
        <v>3000</v>
      </c>
      <c r="E51" s="1205">
        <f t="shared" si="0"/>
        <v>6.4939999999999998</v>
      </c>
      <c r="F51" s="1205">
        <f t="shared" si="1"/>
        <v>0.21646666666666667</v>
      </c>
      <c r="G51" s="1205">
        <f t="shared" si="2"/>
        <v>6.4939999999999998</v>
      </c>
      <c r="H51" s="1205">
        <f>'6 месяцев'!I49+'6 месяцев'!L49+'июль (2)'!I49+'июль (2)'!L49</f>
        <v>6.4939999999999998</v>
      </c>
      <c r="I51" s="1205">
        <f>'6 месяцев'!J49+'6 месяцев'!M49+'июль (2)'!J49+'июль (2)'!M49</f>
        <v>0</v>
      </c>
      <c r="J51" s="268"/>
    </row>
    <row r="52" spans="1:10" s="290" customFormat="1" ht="13.5" thickBot="1">
      <c r="A52" s="1777" t="s">
        <v>140</v>
      </c>
      <c r="B52" s="1785" t="s">
        <v>234</v>
      </c>
      <c r="C52" s="1234" t="s">
        <v>47</v>
      </c>
      <c r="D52" s="1235">
        <v>130</v>
      </c>
      <c r="E52" s="1205">
        <f t="shared" si="0"/>
        <v>88</v>
      </c>
      <c r="F52" s="1205">
        <f t="shared" si="1"/>
        <v>67.692307692307693</v>
      </c>
      <c r="G52" s="1205">
        <f t="shared" si="2"/>
        <v>88</v>
      </c>
      <c r="H52" s="1205">
        <f>80</f>
        <v>80</v>
      </c>
      <c r="I52" s="1205">
        <f>'6 месяцев'!J50+'6 месяцев'!M50+'июль (2)'!J50+'июль (2)'!M50</f>
        <v>8</v>
      </c>
      <c r="J52" s="268"/>
    </row>
    <row r="53" spans="1:10" s="290" customFormat="1" ht="13.5" thickBot="1">
      <c r="A53" s="1778"/>
      <c r="B53" s="1786"/>
      <c r="C53" s="1228" t="s">
        <v>21</v>
      </c>
      <c r="D53" s="1229">
        <v>900</v>
      </c>
      <c r="E53" s="1205">
        <f t="shared" si="0"/>
        <v>1160.579</v>
      </c>
      <c r="F53" s="1205">
        <f t="shared" si="1"/>
        <v>128.95322222222219</v>
      </c>
      <c r="G53" s="1205">
        <f t="shared" si="2"/>
        <v>1160.579</v>
      </c>
      <c r="H53" s="1205">
        <v>602.61500000000001</v>
      </c>
      <c r="I53" s="1205">
        <f>'6 месяцев'!J51+'6 месяцев'!M51+'июль (2)'!J51+'июль (2)'!M51</f>
        <v>557.96399999999994</v>
      </c>
      <c r="J53" s="268"/>
    </row>
    <row r="54" spans="1:10" s="290" customFormat="1" ht="13.5" thickBot="1">
      <c r="A54" s="1772" t="s">
        <v>142</v>
      </c>
      <c r="B54" s="1787" t="s">
        <v>67</v>
      </c>
      <c r="C54" s="1230" t="s">
        <v>47</v>
      </c>
      <c r="D54" s="1231">
        <v>70</v>
      </c>
      <c r="E54" s="1205">
        <f t="shared" si="0"/>
        <v>62</v>
      </c>
      <c r="F54" s="1205">
        <f t="shared" si="1"/>
        <v>88.571428571428569</v>
      </c>
      <c r="G54" s="1205">
        <f t="shared" si="2"/>
        <v>62</v>
      </c>
      <c r="H54" s="1205">
        <v>57</v>
      </c>
      <c r="I54" s="1205">
        <v>5</v>
      </c>
      <c r="J54" s="268"/>
    </row>
    <row r="55" spans="1:10" s="290" customFormat="1" ht="13.5" thickBot="1">
      <c r="A55" s="1773"/>
      <c r="B55" s="1788"/>
      <c r="C55" s="1232" t="s">
        <v>21</v>
      </c>
      <c r="D55" s="1233">
        <v>1000</v>
      </c>
      <c r="E55" s="1205">
        <f t="shared" si="0"/>
        <v>791.16500000000008</v>
      </c>
      <c r="F55" s="1205">
        <f t="shared" si="1"/>
        <v>79.116500000000016</v>
      </c>
      <c r="G55" s="1205">
        <f>H55+I55</f>
        <v>791.16500000000008</v>
      </c>
      <c r="H55" s="1205">
        <f>618.368+19.417</f>
        <v>637.78500000000008</v>
      </c>
      <c r="I55" s="1205">
        <v>153.38</v>
      </c>
      <c r="J55" s="268"/>
    </row>
    <row r="56" spans="1:10" s="290" customFormat="1" ht="13.5" thickBot="1">
      <c r="A56" s="1777" t="s">
        <v>235</v>
      </c>
      <c r="B56" s="1785" t="s">
        <v>236</v>
      </c>
      <c r="C56" s="1234" t="s">
        <v>47</v>
      </c>
      <c r="D56" s="1235">
        <v>300</v>
      </c>
      <c r="E56" s="1205">
        <f t="shared" si="0"/>
        <v>70</v>
      </c>
      <c r="F56" s="1205">
        <f t="shared" si="1"/>
        <v>23.333333333333332</v>
      </c>
      <c r="G56" s="1205">
        <f t="shared" si="2"/>
        <v>70</v>
      </c>
      <c r="H56" s="1205">
        <v>65</v>
      </c>
      <c r="I56" s="1205">
        <v>5</v>
      </c>
      <c r="J56" s="268"/>
    </row>
    <row r="57" spans="1:10" s="290" customFormat="1" ht="13.5" thickBot="1">
      <c r="A57" s="1778"/>
      <c r="B57" s="1786"/>
      <c r="C57" s="1228" t="s">
        <v>21</v>
      </c>
      <c r="D57" s="1229">
        <v>4000</v>
      </c>
      <c r="E57" s="1205">
        <f t="shared" si="0"/>
        <v>547.43799999999999</v>
      </c>
      <c r="F57" s="1205">
        <f t="shared" si="1"/>
        <v>13.68595</v>
      </c>
      <c r="G57" s="1205">
        <f t="shared" si="2"/>
        <v>547.43799999999999</v>
      </c>
      <c r="H57" s="1205">
        <v>447.541</v>
      </c>
      <c r="I57" s="1205">
        <v>99.897000000000006</v>
      </c>
      <c r="J57" s="268"/>
    </row>
    <row r="58" spans="1:10" s="290" customFormat="1" ht="13.5" thickBot="1">
      <c r="A58" s="1772" t="s">
        <v>237</v>
      </c>
      <c r="B58" s="1774" t="s">
        <v>238</v>
      </c>
      <c r="C58" s="1230" t="s">
        <v>24</v>
      </c>
      <c r="D58" s="1231">
        <v>0.53870000000000018</v>
      </c>
      <c r="E58" s="1205">
        <f t="shared" si="0"/>
        <v>7.0250000000000007E-2</v>
      </c>
      <c r="F58" s="1205">
        <f t="shared" si="1"/>
        <v>13.040653424911822</v>
      </c>
      <c r="G58" s="1205">
        <f t="shared" si="2"/>
        <v>7.0250000000000007E-2</v>
      </c>
      <c r="H58" s="1205">
        <f>'6 месяцев'!I56+'6 месяцев'!L56+'июль (2)'!I56+'июль (2)'!L56</f>
        <v>7.0250000000000007E-2</v>
      </c>
      <c r="I58" s="1205">
        <f>'6 месяцев'!J56+'6 месяцев'!M56+'июль (2)'!J56+'июль (2)'!M56</f>
        <v>0</v>
      </c>
      <c r="J58" s="268"/>
    </row>
    <row r="59" spans="1:10" s="290" customFormat="1" ht="13.5" thickBot="1">
      <c r="A59" s="1773"/>
      <c r="B59" s="1776"/>
      <c r="C59" s="1232" t="s">
        <v>21</v>
      </c>
      <c r="D59" s="1233">
        <v>341.76400000000001</v>
      </c>
      <c r="E59" s="1205">
        <f t="shared" si="0"/>
        <v>74.986000000000004</v>
      </c>
      <c r="F59" s="1205">
        <f t="shared" si="1"/>
        <v>21.940871478564155</v>
      </c>
      <c r="G59" s="1205">
        <f t="shared" si="2"/>
        <v>74.986000000000004</v>
      </c>
      <c r="H59" s="1205">
        <f>'6 месяцев'!I57+'6 месяцев'!L57+'июль (2)'!I57+'июль (2)'!L57</f>
        <v>74.986000000000004</v>
      </c>
      <c r="I59" s="1205">
        <f>'6 месяцев'!J57+'6 месяцев'!M57+'июль (2)'!J57+'июль (2)'!M57</f>
        <v>0</v>
      </c>
      <c r="J59" s="268"/>
    </row>
    <row r="60" spans="1:10" s="290" customFormat="1" ht="13.5" thickBot="1">
      <c r="A60" s="1793" t="s">
        <v>146</v>
      </c>
      <c r="B60" s="1770" t="s">
        <v>239</v>
      </c>
      <c r="C60" s="1236" t="s">
        <v>47</v>
      </c>
      <c r="D60" s="1235">
        <v>6</v>
      </c>
      <c r="E60" s="1205">
        <f t="shared" si="0"/>
        <v>2</v>
      </c>
      <c r="F60" s="1205">
        <f t="shared" si="1"/>
        <v>33.333333333333329</v>
      </c>
      <c r="G60" s="1205">
        <f t="shared" si="2"/>
        <v>2</v>
      </c>
      <c r="H60" s="1205">
        <f>'6 месяцев'!I58+'6 месяцев'!L58+'июль (2)'!I58+'июль (2)'!L58</f>
        <v>2</v>
      </c>
      <c r="I60" s="1205">
        <f>'6 месяцев'!J58+'6 месяцев'!M58+'июль (2)'!J58+'июль (2)'!M58</f>
        <v>0</v>
      </c>
      <c r="J60" s="268"/>
    </row>
    <row r="61" spans="1:10" s="290" customFormat="1" ht="13.5" thickBot="1">
      <c r="A61" s="1794"/>
      <c r="B61" s="1795"/>
      <c r="C61" s="1237" t="s">
        <v>21</v>
      </c>
      <c r="D61" s="1229">
        <v>24</v>
      </c>
      <c r="E61" s="1205">
        <f t="shared" si="0"/>
        <v>4.7679999999999998</v>
      </c>
      <c r="F61" s="1205">
        <f t="shared" si="1"/>
        <v>19.866666666666667</v>
      </c>
      <c r="G61" s="1205">
        <f t="shared" si="2"/>
        <v>4.7679999999999998</v>
      </c>
      <c r="H61" s="1205">
        <f>'6 месяцев'!I59+'6 месяцев'!L59+'июль (2)'!I59+'июль (2)'!L59</f>
        <v>4.7679999999999998</v>
      </c>
      <c r="I61" s="1205">
        <f>'6 месяцев'!J59+'6 месяцев'!M59+'июль (2)'!J59+'июль (2)'!M59</f>
        <v>0</v>
      </c>
      <c r="J61" s="268"/>
    </row>
    <row r="62" spans="1:10" s="290" customFormat="1" ht="13.5" thickBot="1">
      <c r="A62" s="1772" t="s">
        <v>240</v>
      </c>
      <c r="B62" s="1791" t="s">
        <v>74</v>
      </c>
      <c r="C62" s="1230" t="s">
        <v>47</v>
      </c>
      <c r="D62" s="1231">
        <v>0</v>
      </c>
      <c r="E62" s="1205">
        <f t="shared" si="0"/>
        <v>0</v>
      </c>
      <c r="F62" s="1205">
        <v>0</v>
      </c>
      <c r="G62" s="1205">
        <f t="shared" si="2"/>
        <v>0</v>
      </c>
      <c r="H62" s="1205">
        <f>'6 месяцев'!I60+'6 месяцев'!L60+'июль (2)'!I60+'июль (2)'!L60</f>
        <v>0</v>
      </c>
      <c r="I62" s="1205">
        <f>'6 месяцев'!J60+'6 месяцев'!M60+'июль (2)'!J60+'июль (2)'!M60</f>
        <v>0</v>
      </c>
      <c r="J62" s="268"/>
    </row>
    <row r="63" spans="1:10" ht="13.5" thickBot="1">
      <c r="A63" s="1773"/>
      <c r="B63" s="1792"/>
      <c r="C63" s="1232" t="s">
        <v>21</v>
      </c>
      <c r="D63" s="1233">
        <v>0</v>
      </c>
      <c r="E63" s="1205">
        <f t="shared" si="0"/>
        <v>0</v>
      </c>
      <c r="F63" s="1205">
        <v>0</v>
      </c>
      <c r="G63" s="1205">
        <f t="shared" si="2"/>
        <v>0</v>
      </c>
      <c r="H63" s="1205">
        <f>'6 месяцев'!I61+'6 месяцев'!L61+'июль (2)'!I61+'июль (2)'!L61</f>
        <v>0</v>
      </c>
      <c r="I63" s="1205">
        <f>'6 месяцев'!J61+'6 месяцев'!M61+'июль (2)'!J61+'июль (2)'!M61</f>
        <v>0</v>
      </c>
    </row>
    <row r="64" spans="1:10" s="290" customFormat="1" ht="13.5" thickBot="1">
      <c r="A64" s="1777" t="s">
        <v>161</v>
      </c>
      <c r="B64" s="1785" t="s">
        <v>75</v>
      </c>
      <c r="C64" s="1234" t="s">
        <v>241</v>
      </c>
      <c r="D64" s="1235">
        <v>0</v>
      </c>
      <c r="E64" s="1205">
        <f t="shared" si="0"/>
        <v>0</v>
      </c>
      <c r="F64" s="1205">
        <v>0</v>
      </c>
      <c r="G64" s="1205">
        <f t="shared" si="2"/>
        <v>0</v>
      </c>
      <c r="H64" s="1205">
        <f>'6 месяцев'!I62+'6 месяцев'!L62+'июль (2)'!I62+'июль (2)'!L62</f>
        <v>0</v>
      </c>
      <c r="I64" s="1205">
        <f>'6 месяцев'!J62+'6 месяцев'!M62+'июль (2)'!J62+'июль (2)'!M62</f>
        <v>0</v>
      </c>
      <c r="J64" s="268"/>
    </row>
    <row r="65" spans="1:10" s="290" customFormat="1" ht="13.5" thickBot="1">
      <c r="A65" s="1778"/>
      <c r="B65" s="1786"/>
      <c r="C65" s="1228" t="s">
        <v>21</v>
      </c>
      <c r="D65" s="1229">
        <v>0</v>
      </c>
      <c r="E65" s="1205">
        <f t="shared" si="0"/>
        <v>0</v>
      </c>
      <c r="F65" s="1205">
        <v>0</v>
      </c>
      <c r="G65" s="1205">
        <f t="shared" si="2"/>
        <v>0</v>
      </c>
      <c r="H65" s="1205">
        <f>'6 месяцев'!I63+'6 месяцев'!L63+'июль (2)'!I63+'июль (2)'!L63</f>
        <v>0</v>
      </c>
      <c r="I65" s="1205">
        <f>'6 месяцев'!J63+'6 месяцев'!M63+'июль (2)'!J63+'июль (2)'!M63</f>
        <v>0</v>
      </c>
      <c r="J65" s="268"/>
    </row>
    <row r="66" spans="1:10" s="290" customFormat="1" ht="13.5" thickBot="1">
      <c r="A66" s="1772" t="s">
        <v>165</v>
      </c>
      <c r="B66" s="1787" t="s">
        <v>76</v>
      </c>
      <c r="C66" s="1230" t="s">
        <v>47</v>
      </c>
      <c r="D66" s="1238">
        <v>0</v>
      </c>
      <c r="E66" s="1205">
        <f t="shared" si="0"/>
        <v>1</v>
      </c>
      <c r="F66" s="1205">
        <v>0</v>
      </c>
      <c r="G66" s="1205">
        <f t="shared" si="2"/>
        <v>1</v>
      </c>
      <c r="H66" s="1205">
        <f>'6 месяцев'!I64+'6 месяцев'!L64+'июль (2)'!I64+'июль (2)'!L64</f>
        <v>1</v>
      </c>
      <c r="I66" s="1205">
        <f>'6 месяцев'!J64+'6 месяцев'!M64+'июль (2)'!J64+'июль (2)'!M64</f>
        <v>0</v>
      </c>
      <c r="J66" s="268"/>
    </row>
    <row r="67" spans="1:10" s="290" customFormat="1" ht="13.5" thickBot="1">
      <c r="A67" s="1773"/>
      <c r="B67" s="1788"/>
      <c r="C67" s="1232" t="s">
        <v>21</v>
      </c>
      <c r="D67" s="1239">
        <v>0</v>
      </c>
      <c r="E67" s="1205">
        <f t="shared" si="0"/>
        <v>13.766999999999999</v>
      </c>
      <c r="F67" s="1205">
        <v>0</v>
      </c>
      <c r="G67" s="1205">
        <f t="shared" si="2"/>
        <v>13.766999999999999</v>
      </c>
      <c r="H67" s="1205">
        <f>'6 месяцев'!I65+'6 месяцев'!L65+'июль (2)'!I65+'июль (2)'!L65</f>
        <v>13.766999999999999</v>
      </c>
      <c r="I67" s="1205">
        <f>'6 месяцев'!J65+'6 месяцев'!M65+'июль (2)'!J65+'июль (2)'!M65</f>
        <v>0</v>
      </c>
      <c r="J67" s="268"/>
    </row>
    <row r="68" spans="1:10" s="290" customFormat="1" ht="13.5" thickBot="1">
      <c r="A68" s="1777" t="s">
        <v>242</v>
      </c>
      <c r="B68" s="1785" t="s">
        <v>77</v>
      </c>
      <c r="C68" s="1234" t="s">
        <v>47</v>
      </c>
      <c r="D68" s="1235">
        <v>10</v>
      </c>
      <c r="E68" s="1205">
        <f t="shared" si="0"/>
        <v>8</v>
      </c>
      <c r="F68" s="1205">
        <f t="shared" si="1"/>
        <v>80</v>
      </c>
      <c r="G68" s="1205">
        <f t="shared" si="2"/>
        <v>8</v>
      </c>
      <c r="H68" s="1205">
        <f>'6 месяцев'!I66+'6 месяцев'!L66+'июль (2)'!I66+'июль (2)'!L66</f>
        <v>8</v>
      </c>
      <c r="I68" s="1205">
        <f>'6 месяцев'!J66+'6 месяцев'!M66+'июль (2)'!J66+'июль (2)'!M66</f>
        <v>0</v>
      </c>
      <c r="J68" s="268"/>
    </row>
    <row r="69" spans="1:10" s="290" customFormat="1" ht="13.5" thickBot="1">
      <c r="A69" s="1778"/>
      <c r="B69" s="1786"/>
      <c r="C69" s="1228" t="s">
        <v>21</v>
      </c>
      <c r="D69" s="1229">
        <v>1.5</v>
      </c>
      <c r="E69" s="1205">
        <f t="shared" si="0"/>
        <v>10.434000000000001</v>
      </c>
      <c r="F69" s="1205">
        <f t="shared" si="1"/>
        <v>695.6</v>
      </c>
      <c r="G69" s="1205">
        <f t="shared" si="2"/>
        <v>10.434000000000001</v>
      </c>
      <c r="H69" s="1205">
        <f>'6 месяцев'!I67+'6 месяцев'!L67+'июль (2)'!I67+'июль (2)'!L67</f>
        <v>10.434000000000001</v>
      </c>
      <c r="I69" s="1205">
        <f>'6 месяцев'!J67+'6 месяцев'!M67+'июль (2)'!J67+'июль (2)'!M67</f>
        <v>0</v>
      </c>
      <c r="J69" s="268"/>
    </row>
    <row r="70" spans="1:10" s="290" customFormat="1" ht="13.5" thickBot="1">
      <c r="A70" s="1772" t="s">
        <v>243</v>
      </c>
      <c r="B70" s="1787" t="s">
        <v>78</v>
      </c>
      <c r="C70" s="1230" t="s">
        <v>244</v>
      </c>
      <c r="D70" s="1231">
        <v>0</v>
      </c>
      <c r="E70" s="1205">
        <f t="shared" si="0"/>
        <v>0</v>
      </c>
      <c r="F70" s="1205">
        <v>0</v>
      </c>
      <c r="G70" s="1205">
        <f t="shared" si="2"/>
        <v>0</v>
      </c>
      <c r="H70" s="1205">
        <f>'6 месяцев'!I68+'6 месяцев'!L68+'июль (2)'!I68+'июль (2)'!L68</f>
        <v>0</v>
      </c>
      <c r="I70" s="1205">
        <f>'6 месяцев'!J68+'6 месяцев'!M68+'июль (2)'!J68+'июль (2)'!M68</f>
        <v>0</v>
      </c>
      <c r="J70" s="268"/>
    </row>
    <row r="71" spans="1:10" s="290" customFormat="1" ht="13.5" thickBot="1">
      <c r="A71" s="1773"/>
      <c r="B71" s="1788"/>
      <c r="C71" s="1232" t="s">
        <v>21</v>
      </c>
      <c r="D71" s="1233">
        <v>0</v>
      </c>
      <c r="E71" s="1205">
        <f t="shared" si="0"/>
        <v>0</v>
      </c>
      <c r="F71" s="1205">
        <v>0</v>
      </c>
      <c r="G71" s="1205">
        <f t="shared" si="2"/>
        <v>0</v>
      </c>
      <c r="H71" s="1205">
        <f>'6 месяцев'!I69+'6 месяцев'!L69+'июль (2)'!I69+'июль (2)'!L69</f>
        <v>0</v>
      </c>
      <c r="I71" s="1205">
        <f>'6 месяцев'!J69+'6 месяцев'!M69+'июль (2)'!J69+'июль (2)'!M69</f>
        <v>0</v>
      </c>
      <c r="J71" s="268"/>
    </row>
    <row r="72" spans="1:10" s="290" customFormat="1" ht="13.5" thickBot="1">
      <c r="A72" s="1768" t="s">
        <v>245</v>
      </c>
      <c r="B72" s="1797" t="s">
        <v>80</v>
      </c>
      <c r="C72" s="1217" t="s">
        <v>241</v>
      </c>
      <c r="D72" s="1218">
        <v>1.8181818181818181</v>
      </c>
      <c r="E72" s="1205">
        <f t="shared" si="0"/>
        <v>0</v>
      </c>
      <c r="F72" s="1205">
        <f t="shared" si="1"/>
        <v>0</v>
      </c>
      <c r="G72" s="1205">
        <f t="shared" si="2"/>
        <v>0</v>
      </c>
      <c r="H72" s="1205">
        <f>'6 месяцев'!I70+'6 месяцев'!L70+'июль (2)'!I70+'июль (2)'!L70</f>
        <v>0</v>
      </c>
      <c r="I72" s="1205">
        <f>'6 месяцев'!J70+'6 месяцев'!M70+'июль (2)'!J70+'июль (2)'!M70</f>
        <v>0</v>
      </c>
      <c r="J72" s="268"/>
    </row>
    <row r="73" spans="1:10" s="290" customFormat="1" ht="13.5" thickBot="1">
      <c r="A73" s="1796"/>
      <c r="B73" s="1788"/>
      <c r="C73" s="1232" t="s">
        <v>21</v>
      </c>
      <c r="D73" s="1233">
        <v>2000</v>
      </c>
      <c r="E73" s="1205">
        <f t="shared" si="0"/>
        <v>0</v>
      </c>
      <c r="F73" s="1205">
        <f t="shared" si="1"/>
        <v>0</v>
      </c>
      <c r="G73" s="1205">
        <f t="shared" si="2"/>
        <v>0</v>
      </c>
      <c r="H73" s="1205">
        <f>'6 месяцев'!I71+'6 месяцев'!L71+'июль (2)'!I71+'июль (2)'!L71</f>
        <v>0</v>
      </c>
      <c r="I73" s="1205">
        <f>'6 месяцев'!J71+'6 месяцев'!M71+'июль (2)'!J71+'июль (2)'!M71</f>
        <v>0</v>
      </c>
      <c r="J73" s="268"/>
    </row>
    <row r="74" spans="1:10" s="290" customFormat="1" ht="13.5" thickBot="1">
      <c r="A74" s="1240" t="s">
        <v>81</v>
      </c>
      <c r="B74" s="1241" t="s">
        <v>82</v>
      </c>
      <c r="C74" s="1242" t="s">
        <v>21</v>
      </c>
      <c r="D74" s="1243">
        <v>33260</v>
      </c>
      <c r="E74" s="1204">
        <f t="shared" si="0"/>
        <v>5982.13</v>
      </c>
      <c r="F74" s="1205">
        <f t="shared" si="1"/>
        <v>17.985959110042092</v>
      </c>
      <c r="G74" s="1205">
        <f t="shared" si="2"/>
        <v>5982.13</v>
      </c>
      <c r="H74" s="1205">
        <v>5982.13</v>
      </c>
      <c r="I74" s="1205">
        <f>'6 месяцев'!J72+'6 месяцев'!M72+'июль (2)'!J72+'июль (2)'!M72</f>
        <v>0</v>
      </c>
      <c r="J74" s="268"/>
    </row>
    <row r="75" spans="1:10" s="290" customFormat="1" ht="13.5" thickBot="1">
      <c r="A75" s="1798" t="s">
        <v>104</v>
      </c>
      <c r="B75" s="1800" t="s">
        <v>246</v>
      </c>
      <c r="C75" s="1244" t="s">
        <v>51</v>
      </c>
      <c r="D75" s="1245">
        <v>17.100000000000001</v>
      </c>
      <c r="E75" s="1214">
        <f t="shared" si="0"/>
        <v>3.9569999999999999</v>
      </c>
      <c r="F75" s="1205">
        <f t="shared" si="1"/>
        <v>23.140350877192979</v>
      </c>
      <c r="G75" s="1205">
        <f t="shared" si="2"/>
        <v>3.9569999999999999</v>
      </c>
      <c r="H75" s="1205">
        <v>3.9569999999999999</v>
      </c>
      <c r="I75" s="1205">
        <f>'6 месяцев'!J73+'6 месяцев'!M73+'июль (2)'!J73+'июль (2)'!M73</f>
        <v>0</v>
      </c>
      <c r="J75" s="268"/>
    </row>
    <row r="76" spans="1:10" s="290" customFormat="1" ht="13.5" thickBot="1">
      <c r="A76" s="1799"/>
      <c r="B76" s="1801"/>
      <c r="C76" s="1212" t="s">
        <v>21</v>
      </c>
      <c r="D76" s="1246">
        <v>29460</v>
      </c>
      <c r="E76" s="1214">
        <f t="shared" si="0"/>
        <v>4631.7420000000002</v>
      </c>
      <c r="F76" s="1205">
        <f t="shared" si="1"/>
        <v>15.722138492871689</v>
      </c>
      <c r="G76" s="1205">
        <f t="shared" si="2"/>
        <v>4631.7420000000002</v>
      </c>
      <c r="H76" s="1205">
        <v>4631.7420000000002</v>
      </c>
      <c r="I76" s="1205">
        <f>'6 месяцев'!J74+'6 месяцев'!M74+'июль (2)'!J74+'июль (2)'!M74</f>
        <v>0</v>
      </c>
      <c r="J76" s="268"/>
    </row>
    <row r="77" spans="1:10" ht="13.5" thickBot="1">
      <c r="A77" s="1766" t="s">
        <v>247</v>
      </c>
      <c r="B77" s="1767" t="s">
        <v>86</v>
      </c>
      <c r="C77" s="1217" t="s">
        <v>87</v>
      </c>
      <c r="D77" s="1218">
        <v>5</v>
      </c>
      <c r="E77" s="1205">
        <f t="shared" si="0"/>
        <v>0.26600000000000001</v>
      </c>
      <c r="F77" s="1205">
        <f t="shared" si="1"/>
        <v>5.32</v>
      </c>
      <c r="G77" s="1205">
        <f t="shared" si="2"/>
        <v>0.26600000000000001</v>
      </c>
      <c r="H77" s="1205">
        <v>0.26600000000000001</v>
      </c>
      <c r="I77" s="1205">
        <f>'6 месяцев'!J75+'6 месяцев'!M75+'июль (2)'!J75+'июль (2)'!M75</f>
        <v>0</v>
      </c>
    </row>
    <row r="78" spans="1:10" ht="13.5" thickBot="1">
      <c r="A78" s="1766"/>
      <c r="B78" s="1767"/>
      <c r="C78" s="1217" t="s">
        <v>21</v>
      </c>
      <c r="D78" s="1218">
        <v>8500</v>
      </c>
      <c r="E78" s="1205">
        <f t="shared" si="0"/>
        <v>215.298</v>
      </c>
      <c r="F78" s="1205">
        <f t="shared" si="1"/>
        <v>2.5329176470588237</v>
      </c>
      <c r="G78" s="1205">
        <f t="shared" si="2"/>
        <v>215.298</v>
      </c>
      <c r="H78" s="1205">
        <v>215.298</v>
      </c>
      <c r="I78" s="1205">
        <f>'6 месяцев'!J76+'6 месяцев'!M76+'июль (2)'!J76+'июль (2)'!M76</f>
        <v>0</v>
      </c>
    </row>
    <row r="79" spans="1:10" ht="13.5" thickBot="1">
      <c r="A79" s="1766" t="s">
        <v>248</v>
      </c>
      <c r="B79" s="1767" t="s">
        <v>89</v>
      </c>
      <c r="C79" s="1217" t="s">
        <v>51</v>
      </c>
      <c r="D79" s="1218">
        <v>4.9000000000000004</v>
      </c>
      <c r="E79" s="1205">
        <f t="shared" si="0"/>
        <v>0.95399999999999996</v>
      </c>
      <c r="F79" s="1205">
        <f t="shared" si="1"/>
        <v>19.469387755102037</v>
      </c>
      <c r="G79" s="1205">
        <f t="shared" si="2"/>
        <v>0.95399999999999996</v>
      </c>
      <c r="H79" s="1205">
        <v>0.95399999999999996</v>
      </c>
      <c r="I79" s="1205">
        <f>'6 месяцев'!J77+'6 месяцев'!M77+'июль (2)'!J77+'июль (2)'!M77</f>
        <v>0</v>
      </c>
    </row>
    <row r="80" spans="1:10" ht="13.5" thickBot="1">
      <c r="A80" s="1766"/>
      <c r="B80" s="1767"/>
      <c r="C80" s="1217" t="s">
        <v>21</v>
      </c>
      <c r="D80" s="1218">
        <v>8330</v>
      </c>
      <c r="E80" s="1205">
        <f t="shared" ref="E80:E99" si="3">G80</f>
        <v>798.13400000000001</v>
      </c>
      <c r="F80" s="1205">
        <f t="shared" ref="F80:F100" si="4">E80/D80*100</f>
        <v>9.5814405762304915</v>
      </c>
      <c r="G80" s="1205">
        <f t="shared" ref="G80:G100" si="5">H80+I80</f>
        <v>798.13400000000001</v>
      </c>
      <c r="H80" s="1205">
        <v>798.13400000000001</v>
      </c>
      <c r="I80" s="1205">
        <f>'6 месяцев'!J78+'6 месяцев'!M78+'июль (2)'!J78+'июль (2)'!M78</f>
        <v>0</v>
      </c>
    </row>
    <row r="81" spans="1:10" ht="13.5" thickBot="1">
      <c r="A81" s="1766" t="s">
        <v>249</v>
      </c>
      <c r="B81" s="1767" t="s">
        <v>91</v>
      </c>
      <c r="C81" s="1217" t="s">
        <v>51</v>
      </c>
      <c r="D81" s="1218">
        <v>3.3</v>
      </c>
      <c r="E81" s="1205">
        <f t="shared" si="3"/>
        <v>1.4419999999999999</v>
      </c>
      <c r="F81" s="1205">
        <f t="shared" si="4"/>
        <v>43.696969696969695</v>
      </c>
      <c r="G81" s="1205">
        <f t="shared" si="5"/>
        <v>1.4419999999999999</v>
      </c>
      <c r="H81" s="1205">
        <v>1.4419999999999999</v>
      </c>
      <c r="I81" s="1205">
        <f>'6 месяцев'!J79+'6 месяцев'!M79+'июль (2)'!J79+'июль (2)'!M79</f>
        <v>0</v>
      </c>
    </row>
    <row r="82" spans="1:10" ht="13.5" thickBot="1">
      <c r="A82" s="1766"/>
      <c r="B82" s="1767"/>
      <c r="C82" s="1217" t="s">
        <v>21</v>
      </c>
      <c r="D82" s="1218">
        <v>5610</v>
      </c>
      <c r="E82" s="1205">
        <f t="shared" si="3"/>
        <v>1327.2809999999999</v>
      </c>
      <c r="F82" s="1205">
        <f t="shared" si="4"/>
        <v>23.659197860962568</v>
      </c>
      <c r="G82" s="1205">
        <f t="shared" si="5"/>
        <v>1327.2809999999999</v>
      </c>
      <c r="H82" s="1205">
        <v>1327.2809999999999</v>
      </c>
      <c r="I82" s="1205">
        <f>'6 месяцев'!J80+'6 месяцев'!M80+'июль (2)'!J80+'июль (2)'!M80</f>
        <v>0</v>
      </c>
    </row>
    <row r="83" spans="1:10" ht="13.5" thickBot="1">
      <c r="A83" s="1766" t="s">
        <v>250</v>
      </c>
      <c r="B83" s="1767" t="s">
        <v>93</v>
      </c>
      <c r="C83" s="1217" t="s">
        <v>51</v>
      </c>
      <c r="D83" s="1218">
        <v>3.9</v>
      </c>
      <c r="E83" s="1205">
        <f t="shared" si="3"/>
        <v>1.2949999999999999</v>
      </c>
      <c r="F83" s="1205">
        <f t="shared" si="4"/>
        <v>33.205128205128204</v>
      </c>
      <c r="G83" s="1205">
        <f t="shared" si="5"/>
        <v>1.2949999999999999</v>
      </c>
      <c r="H83" s="1205">
        <v>1.2949999999999999</v>
      </c>
      <c r="I83" s="1205">
        <f>'6 месяцев'!J81+'6 месяцев'!M81+'июль (2)'!J81+'июль (2)'!M81</f>
        <v>0</v>
      </c>
    </row>
    <row r="84" spans="1:10" ht="13.5" thickBot="1">
      <c r="A84" s="1778"/>
      <c r="B84" s="1812"/>
      <c r="C84" s="1228" t="s">
        <v>21</v>
      </c>
      <c r="D84" s="1247">
        <v>7020</v>
      </c>
      <c r="E84" s="1205">
        <f t="shared" si="3"/>
        <v>2291.029</v>
      </c>
      <c r="F84" s="1205">
        <f t="shared" si="4"/>
        <v>32.635740740740744</v>
      </c>
      <c r="G84" s="1205">
        <f t="shared" si="5"/>
        <v>2291.029</v>
      </c>
      <c r="H84" s="1205">
        <v>2291.029</v>
      </c>
      <c r="I84" s="1205">
        <f>'6 месяцев'!J82+'6 месяцев'!M82+'июль (2)'!J82+'июль (2)'!M82</f>
        <v>0</v>
      </c>
    </row>
    <row r="85" spans="1:10" ht="13.5" thickBot="1">
      <c r="A85" s="1772" t="s">
        <v>108</v>
      </c>
      <c r="B85" s="1791" t="s">
        <v>94</v>
      </c>
      <c r="C85" s="1230" t="s">
        <v>47</v>
      </c>
      <c r="D85" s="1231">
        <v>300</v>
      </c>
      <c r="E85" s="1205">
        <f t="shared" si="3"/>
        <v>100</v>
      </c>
      <c r="F85" s="1205">
        <f t="shared" si="4"/>
        <v>33.333333333333329</v>
      </c>
      <c r="G85" s="1205">
        <f t="shared" si="5"/>
        <v>100</v>
      </c>
      <c r="H85" s="1205">
        <v>100</v>
      </c>
      <c r="I85" s="1205">
        <f>'6 месяцев'!J83+'6 месяцев'!M83+'июль (2)'!J83+'июль (2)'!M83</f>
        <v>0</v>
      </c>
    </row>
    <row r="86" spans="1:10" ht="13.5" thickBot="1">
      <c r="A86" s="1773"/>
      <c r="B86" s="1792"/>
      <c r="C86" s="1232" t="s">
        <v>21</v>
      </c>
      <c r="D86" s="1233">
        <v>2000</v>
      </c>
      <c r="E86" s="1205">
        <f t="shared" si="3"/>
        <v>609.11900000000003</v>
      </c>
      <c r="F86" s="1205">
        <f t="shared" si="4"/>
        <v>30.455950000000005</v>
      </c>
      <c r="G86" s="1205">
        <f t="shared" si="5"/>
        <v>609.11900000000003</v>
      </c>
      <c r="H86" s="1205">
        <v>609.11900000000003</v>
      </c>
      <c r="I86" s="1205">
        <f>'6 месяцев'!J84+'6 месяцев'!M84+'июль (2)'!J84+'июль (2)'!M84</f>
        <v>0</v>
      </c>
    </row>
    <row r="87" spans="1:10" ht="13.5" thickBot="1">
      <c r="A87" s="1777" t="s">
        <v>109</v>
      </c>
      <c r="B87" s="1785" t="s">
        <v>251</v>
      </c>
      <c r="C87" s="1234" t="s">
        <v>47</v>
      </c>
      <c r="D87" s="1235">
        <v>1400</v>
      </c>
      <c r="E87" s="1205">
        <f t="shared" si="3"/>
        <v>625</v>
      </c>
      <c r="F87" s="1205">
        <f t="shared" si="4"/>
        <v>44.642857142857146</v>
      </c>
      <c r="G87" s="1205">
        <f t="shared" si="5"/>
        <v>625</v>
      </c>
      <c r="H87" s="1205">
        <v>625</v>
      </c>
      <c r="I87" s="1205">
        <f>'6 месяцев'!J85+'6 месяцев'!M85+'июль (2)'!J85+'июль (2)'!M85</f>
        <v>0</v>
      </c>
    </row>
    <row r="88" spans="1:10" ht="13.5" thickBot="1">
      <c r="A88" s="1778"/>
      <c r="B88" s="1786"/>
      <c r="C88" s="1228" t="s">
        <v>21</v>
      </c>
      <c r="D88" s="1229">
        <v>1800</v>
      </c>
      <c r="E88" s="1205">
        <f t="shared" si="3"/>
        <v>741.26900000000001</v>
      </c>
      <c r="F88" s="1205">
        <f t="shared" si="4"/>
        <v>41.18161111111111</v>
      </c>
      <c r="G88" s="1205">
        <f t="shared" si="5"/>
        <v>741.26900000000001</v>
      </c>
      <c r="H88" s="1205">
        <v>741.26900000000001</v>
      </c>
      <c r="I88" s="1205">
        <f>'6 месяцев'!J86+'6 месяцев'!M86+'июль (2)'!J86+'июль (2)'!M86</f>
        <v>0</v>
      </c>
    </row>
    <row r="89" spans="1:10" s="290" customFormat="1" ht="13.5" thickBot="1">
      <c r="A89" s="1248" t="s">
        <v>98</v>
      </c>
      <c r="B89" s="1249" t="s">
        <v>99</v>
      </c>
      <c r="C89" s="1250" t="s">
        <v>21</v>
      </c>
      <c r="D89" s="1251">
        <v>3800</v>
      </c>
      <c r="E89" s="1204">
        <f t="shared" si="3"/>
        <v>2679.5059999999999</v>
      </c>
      <c r="F89" s="1205">
        <f t="shared" si="4"/>
        <v>70.51331578947368</v>
      </c>
      <c r="G89" s="1205">
        <f t="shared" si="5"/>
        <v>2679.5059999999999</v>
      </c>
      <c r="H89" s="1205">
        <v>2679.5059999999999</v>
      </c>
      <c r="I89" s="1205">
        <f>'6 месяцев'!J87+'6 месяцев'!M87+'июль (2)'!J87+'июль (2)'!M87</f>
        <v>0</v>
      </c>
      <c r="J89" s="268"/>
    </row>
    <row r="90" spans="1:10" s="290" customFormat="1" ht="13.5" thickBot="1">
      <c r="A90" s="1802">
        <v>25</v>
      </c>
      <c r="B90" s="1804" t="s">
        <v>252</v>
      </c>
      <c r="C90" s="1236" t="s">
        <v>51</v>
      </c>
      <c r="D90" s="1252">
        <v>3.5</v>
      </c>
      <c r="E90" s="1205">
        <f t="shared" si="3"/>
        <v>1.962</v>
      </c>
      <c r="F90" s="1205">
        <f t="shared" si="4"/>
        <v>56.057142857142864</v>
      </c>
      <c r="G90" s="1205">
        <f t="shared" si="5"/>
        <v>1.962</v>
      </c>
      <c r="H90" s="1205">
        <v>1.962</v>
      </c>
      <c r="I90" s="1205">
        <f>'6 месяцев'!J88+'6 месяцев'!M88+'июль (2)'!J88+'июль (2)'!M88</f>
        <v>0</v>
      </c>
      <c r="J90" s="268"/>
    </row>
    <row r="91" spans="1:10" s="290" customFormat="1" ht="13.5" thickBot="1">
      <c r="A91" s="1803"/>
      <c r="B91" s="1805"/>
      <c r="C91" s="1237" t="s">
        <v>21</v>
      </c>
      <c r="D91" s="1253">
        <v>600</v>
      </c>
      <c r="E91" s="1205">
        <f t="shared" si="3"/>
        <v>351.51400000000001</v>
      </c>
      <c r="F91" s="1205">
        <f t="shared" si="4"/>
        <v>58.585666666666668</v>
      </c>
      <c r="G91" s="1205">
        <f t="shared" si="5"/>
        <v>351.51400000000001</v>
      </c>
      <c r="H91" s="1205">
        <v>351.51400000000001</v>
      </c>
      <c r="I91" s="1205">
        <f>'6 месяцев'!J89+'6 месяцев'!M89+'июль (2)'!J89+'июль (2)'!M89</f>
        <v>0</v>
      </c>
      <c r="J91" s="268"/>
    </row>
    <row r="92" spans="1:10" s="290" customFormat="1" ht="13.5" thickBot="1">
      <c r="A92" s="1806">
        <v>26</v>
      </c>
      <c r="B92" s="1808" t="s">
        <v>253</v>
      </c>
      <c r="C92" s="1254" t="s">
        <v>47</v>
      </c>
      <c r="D92" s="1255">
        <v>2000</v>
      </c>
      <c r="E92" s="1205">
        <f t="shared" si="3"/>
        <v>1975</v>
      </c>
      <c r="F92" s="1205">
        <f t="shared" si="4"/>
        <v>98.75</v>
      </c>
      <c r="G92" s="1205">
        <f t="shared" si="5"/>
        <v>1975</v>
      </c>
      <c r="H92" s="1205">
        <v>1975</v>
      </c>
      <c r="I92" s="1205">
        <f>'6 месяцев'!J90+'6 месяцев'!M90+'июль (2)'!J90+'июль (2)'!M90</f>
        <v>0</v>
      </c>
      <c r="J92" s="268"/>
    </row>
    <row r="93" spans="1:10" s="290" customFormat="1" ht="13.5" thickBot="1">
      <c r="A93" s="1807"/>
      <c r="B93" s="1809"/>
      <c r="C93" s="1256" t="s">
        <v>21</v>
      </c>
      <c r="D93" s="1257">
        <v>1900</v>
      </c>
      <c r="E93" s="1205">
        <f t="shared" si="3"/>
        <v>1847.383</v>
      </c>
      <c r="F93" s="1205">
        <f t="shared" si="4"/>
        <v>97.23068421052632</v>
      </c>
      <c r="G93" s="1205">
        <f t="shared" si="5"/>
        <v>1847.383</v>
      </c>
      <c r="H93" s="1205">
        <f>1847.383</f>
        <v>1847.383</v>
      </c>
      <c r="I93" s="1205">
        <f>'6 месяцев'!J91+'6 месяцев'!M91+'июль (2)'!J91+'июль (2)'!M91</f>
        <v>0</v>
      </c>
      <c r="J93" s="268"/>
    </row>
    <row r="94" spans="1:10" s="290" customFormat="1" ht="13.5" thickBot="1">
      <c r="A94" s="1793" t="s">
        <v>254</v>
      </c>
      <c r="B94" s="1810" t="s">
        <v>105</v>
      </c>
      <c r="C94" s="1236" t="s">
        <v>47</v>
      </c>
      <c r="D94" s="1252">
        <v>300</v>
      </c>
      <c r="E94" s="1205">
        <f t="shared" si="3"/>
        <v>130</v>
      </c>
      <c r="F94" s="1205">
        <f t="shared" si="4"/>
        <v>43.333333333333336</v>
      </c>
      <c r="G94" s="1205">
        <f t="shared" si="5"/>
        <v>130</v>
      </c>
      <c r="H94" s="1205">
        <v>130</v>
      </c>
      <c r="I94" s="1205">
        <f>'6 месяцев'!J92+'6 месяцев'!M92+'июль (2)'!J92+'июль (2)'!M92</f>
        <v>0</v>
      </c>
      <c r="J94" s="268"/>
    </row>
    <row r="95" spans="1:10" s="290" customFormat="1" ht="13.5" thickBot="1">
      <c r="A95" s="1794"/>
      <c r="B95" s="1811"/>
      <c r="C95" s="1237" t="s">
        <v>21</v>
      </c>
      <c r="D95" s="1253">
        <v>2524</v>
      </c>
      <c r="E95" s="1205">
        <f t="shared" si="3"/>
        <v>480.60899999999998</v>
      </c>
      <c r="F95" s="1205">
        <f t="shared" si="4"/>
        <v>19.041561014263074</v>
      </c>
      <c r="G95" s="1205">
        <f t="shared" si="5"/>
        <v>480.60899999999998</v>
      </c>
      <c r="H95" s="1205">
        <v>480.60899999999998</v>
      </c>
      <c r="I95" s="1205">
        <f>'6 месяцев'!J93+'6 месяцев'!M93+'июль (2)'!J93+'июль (2)'!M93</f>
        <v>0</v>
      </c>
      <c r="J95" s="268"/>
    </row>
    <row r="96" spans="1:10" s="290" customFormat="1" ht="21.75" thickBot="1">
      <c r="A96" s="1248" t="s">
        <v>106</v>
      </c>
      <c r="B96" s="1258" t="s">
        <v>107</v>
      </c>
      <c r="C96" s="1259" t="s">
        <v>21</v>
      </c>
      <c r="D96" s="1251">
        <v>1224</v>
      </c>
      <c r="E96" s="1204">
        <f t="shared" si="3"/>
        <v>0</v>
      </c>
      <c r="F96" s="1205">
        <f t="shared" si="4"/>
        <v>0</v>
      </c>
      <c r="G96" s="1205">
        <f t="shared" si="5"/>
        <v>0</v>
      </c>
      <c r="H96" s="1205">
        <f>'6 месяцев'!I94+'6 месяцев'!L94+'июль (2)'!I94+'июль (2)'!L94</f>
        <v>0</v>
      </c>
      <c r="I96" s="1205">
        <f>'6 месяцев'!J94+'6 месяцев'!M94+'июль (2)'!J94+'июль (2)'!M94</f>
        <v>0</v>
      </c>
      <c r="J96" s="268"/>
    </row>
    <row r="97" spans="1:10" s="290" customFormat="1" ht="13.5" thickBot="1">
      <c r="A97" s="1260" t="s">
        <v>255</v>
      </c>
      <c r="B97" s="1261" t="s">
        <v>313</v>
      </c>
      <c r="C97" s="1262" t="s">
        <v>21</v>
      </c>
      <c r="D97" s="1263">
        <v>1224</v>
      </c>
      <c r="E97" s="1205">
        <f t="shared" si="3"/>
        <v>0</v>
      </c>
      <c r="F97" s="1205">
        <f t="shared" si="4"/>
        <v>0</v>
      </c>
      <c r="G97" s="1205">
        <f t="shared" si="5"/>
        <v>0</v>
      </c>
      <c r="H97" s="1205">
        <f>'6 месяцев'!I95+'6 месяцев'!L95+'июль (2)'!I95+'июль (2)'!L95</f>
        <v>0</v>
      </c>
      <c r="I97" s="1205">
        <f>'6 месяцев'!J95+'6 месяцев'!M95+'июль (2)'!J95+'июль (2)'!M95</f>
        <v>0</v>
      </c>
      <c r="J97" s="268"/>
    </row>
    <row r="98" spans="1:10" s="290" customFormat="1" ht="13.5" thickBot="1">
      <c r="A98" s="1260" t="s">
        <v>257</v>
      </c>
      <c r="B98" s="1261" t="s">
        <v>314</v>
      </c>
      <c r="C98" s="1262" t="s">
        <v>21</v>
      </c>
      <c r="D98" s="1263">
        <v>0</v>
      </c>
      <c r="E98" s="1205">
        <f t="shared" si="3"/>
        <v>0</v>
      </c>
      <c r="F98" s="1205">
        <v>0</v>
      </c>
      <c r="G98" s="1205">
        <f t="shared" si="5"/>
        <v>0</v>
      </c>
      <c r="H98" s="1205">
        <f>'6 месяцев'!I96+'6 месяцев'!L96+'июль (2)'!I96+'июль (2)'!L96</f>
        <v>0</v>
      </c>
      <c r="I98" s="1205">
        <f>'6 месяцев'!J96+'6 месяцев'!M96+'июль (2)'!J96+'июль (2)'!M96</f>
        <v>0</v>
      </c>
      <c r="J98" s="268"/>
    </row>
    <row r="99" spans="1:10" s="290" customFormat="1" ht="13.5" thickBot="1">
      <c r="A99" s="1240" t="s">
        <v>259</v>
      </c>
      <c r="B99" s="1264" t="s">
        <v>111</v>
      </c>
      <c r="C99" s="1242" t="s">
        <v>21</v>
      </c>
      <c r="D99" s="1265">
        <v>20224.418999999994</v>
      </c>
      <c r="E99" s="1204">
        <f t="shared" si="3"/>
        <v>1071.6759999999999</v>
      </c>
      <c r="F99" s="1205">
        <f t="shared" si="4"/>
        <v>5.2989210716016126</v>
      </c>
      <c r="G99" s="1205">
        <f t="shared" si="5"/>
        <v>1071.6759999999999</v>
      </c>
      <c r="H99" s="1205">
        <v>1071.6759999999999</v>
      </c>
      <c r="I99" s="1205">
        <f>'6 месяцев'!J97+'6 месяцев'!M97+'июль (2)'!J97+'июль (2)'!M97</f>
        <v>0</v>
      </c>
      <c r="J99" s="268"/>
    </row>
    <row r="100" spans="1:10" s="290" customFormat="1" ht="13.5" thickBot="1">
      <c r="A100" s="1266"/>
      <c r="B100" s="1267" t="s">
        <v>112</v>
      </c>
      <c r="C100" s="1268" t="s">
        <v>21</v>
      </c>
      <c r="D100" s="1269">
        <v>115881.18489999999</v>
      </c>
      <c r="E100" s="1270">
        <v>16725.609</v>
      </c>
      <c r="F100" s="1205">
        <f t="shared" si="4"/>
        <v>14.433412131946541</v>
      </c>
      <c r="G100" s="1205">
        <f t="shared" si="5"/>
        <v>16725.608</v>
      </c>
      <c r="H100" s="1205">
        <f>15884.521-0.65</f>
        <v>15883.871000000001</v>
      </c>
      <c r="I100" s="1205">
        <f>0.584+841.153</f>
        <v>841.73699999999997</v>
      </c>
      <c r="J100" s="268"/>
    </row>
    <row r="101" spans="1:10" s="290" customFormat="1">
      <c r="A101" s="1271"/>
      <c r="B101" s="1272"/>
      <c r="C101" s="1273"/>
      <c r="D101" s="1274"/>
      <c r="E101" s="1274"/>
      <c r="F101" s="1274"/>
      <c r="G101" s="1274"/>
      <c r="H101" s="1275"/>
      <c r="I101" s="1275"/>
    </row>
    <row r="102" spans="1:10">
      <c r="A102" s="1276"/>
      <c r="B102" s="1276"/>
      <c r="C102" s="1276"/>
      <c r="D102" s="1277"/>
      <c r="E102" s="1277"/>
      <c r="F102" s="1278"/>
      <c r="G102" s="1278"/>
      <c r="H102" s="1279"/>
      <c r="I102" s="1279"/>
    </row>
    <row r="103" spans="1:10">
      <c r="A103" s="1816" t="s">
        <v>113</v>
      </c>
      <c r="B103" s="1816"/>
      <c r="C103" s="1816"/>
      <c r="D103" s="1816"/>
      <c r="E103" s="1816"/>
      <c r="F103" s="1816"/>
      <c r="G103" s="1816"/>
      <c r="H103" s="1816"/>
      <c r="I103" s="1816"/>
    </row>
    <row r="104" spans="1:10">
      <c r="A104" s="1280"/>
      <c r="B104" s="1280"/>
      <c r="C104" s="1280"/>
      <c r="D104" s="1280"/>
      <c r="E104" s="1280"/>
      <c r="F104" s="1281"/>
      <c r="G104" s="1281"/>
      <c r="H104" s="1281"/>
      <c r="I104" s="1281"/>
    </row>
    <row r="105" spans="1:10">
      <c r="A105" s="1280"/>
      <c r="B105" s="1280"/>
      <c r="C105" s="1280"/>
      <c r="D105" s="1280"/>
      <c r="E105" s="1280"/>
      <c r="F105" s="1281"/>
      <c r="G105" s="1281"/>
      <c r="H105" s="1281"/>
      <c r="I105" s="1281"/>
    </row>
    <row r="106" spans="1:10">
      <c r="A106" s="1813" t="s">
        <v>114</v>
      </c>
      <c r="B106" s="1814" t="s">
        <v>127</v>
      </c>
      <c r="C106" s="1282" t="s">
        <v>51</v>
      </c>
      <c r="D106" s="1283"/>
      <c r="E106" s="1283"/>
      <c r="F106" s="1283"/>
      <c r="G106" s="1284"/>
      <c r="H106" s="1285"/>
      <c r="I106" s="1217"/>
    </row>
    <row r="107" spans="1:10">
      <c r="A107" s="1813"/>
      <c r="B107" s="1814"/>
      <c r="C107" s="1282" t="s">
        <v>128</v>
      </c>
      <c r="D107" s="1283"/>
      <c r="E107" s="1283"/>
      <c r="F107" s="1283"/>
      <c r="G107" s="1284"/>
      <c r="H107" s="1285"/>
      <c r="I107" s="1217"/>
    </row>
    <row r="108" spans="1:10">
      <c r="A108" s="1813" t="s">
        <v>117</v>
      </c>
      <c r="B108" s="1814" t="s">
        <v>129</v>
      </c>
      <c r="C108" s="1282" t="s">
        <v>130</v>
      </c>
      <c r="D108" s="1283"/>
      <c r="E108" s="1283"/>
      <c r="F108" s="1283"/>
      <c r="G108" s="1284"/>
      <c r="H108" s="1285"/>
      <c r="I108" s="1217"/>
    </row>
    <row r="109" spans="1:10">
      <c r="A109" s="1813"/>
      <c r="B109" s="1814"/>
      <c r="C109" s="1282" t="s">
        <v>21</v>
      </c>
      <c r="D109" s="1283"/>
      <c r="E109" s="1283"/>
      <c r="F109" s="1283"/>
      <c r="G109" s="1284"/>
      <c r="H109" s="1285"/>
      <c r="I109" s="1217"/>
    </row>
    <row r="110" spans="1:10" s="352" customFormat="1">
      <c r="A110" s="1813" t="s">
        <v>119</v>
      </c>
      <c r="B110" s="1814" t="s">
        <v>260</v>
      </c>
      <c r="C110" s="1286" t="s">
        <v>47</v>
      </c>
      <c r="D110" s="1283"/>
      <c r="E110" s="1283"/>
      <c r="F110" s="1283"/>
      <c r="G110" s="1284"/>
      <c r="H110" s="1285"/>
      <c r="I110" s="1217"/>
    </row>
    <row r="111" spans="1:10" s="352" customFormat="1">
      <c r="A111" s="1813"/>
      <c r="B111" s="1814"/>
      <c r="C111" s="1286" t="s">
        <v>21</v>
      </c>
      <c r="D111" s="1283"/>
      <c r="E111" s="1283"/>
      <c r="F111" s="1283"/>
      <c r="G111" s="1284"/>
      <c r="H111" s="1285"/>
      <c r="I111" s="1217"/>
    </row>
    <row r="112" spans="1:10">
      <c r="A112" s="1813" t="s">
        <v>121</v>
      </c>
      <c r="B112" s="1814" t="s">
        <v>261</v>
      </c>
      <c r="C112" s="1282" t="s">
        <v>134</v>
      </c>
      <c r="D112" s="1283"/>
      <c r="E112" s="1283"/>
      <c r="F112" s="1283"/>
      <c r="G112" s="1284"/>
      <c r="H112" s="1285"/>
      <c r="I112" s="1217"/>
    </row>
    <row r="113" spans="1:115">
      <c r="A113" s="1813"/>
      <c r="B113" s="1814"/>
      <c r="C113" s="1282" t="s">
        <v>21</v>
      </c>
      <c r="D113" s="1283"/>
      <c r="E113" s="1283"/>
      <c r="F113" s="1283"/>
      <c r="G113" s="1284"/>
      <c r="H113" s="1285"/>
      <c r="I113" s="1217"/>
    </row>
    <row r="114" spans="1:115">
      <c r="A114" s="1287" t="s">
        <v>124</v>
      </c>
      <c r="B114" s="1288" t="s">
        <v>137</v>
      </c>
      <c r="C114" s="1282" t="s">
        <v>21</v>
      </c>
      <c r="D114" s="1283"/>
      <c r="E114" s="1283"/>
      <c r="F114" s="1283"/>
      <c r="G114" s="1284"/>
      <c r="H114" s="1217"/>
      <c r="I114" s="1217"/>
    </row>
    <row r="115" spans="1:115">
      <c r="A115" s="1287" t="s">
        <v>262</v>
      </c>
      <c r="B115" s="1289" t="s">
        <v>139</v>
      </c>
      <c r="C115" s="1282" t="s">
        <v>21</v>
      </c>
      <c r="D115" s="1283"/>
      <c r="E115" s="1283"/>
      <c r="F115" s="1283"/>
      <c r="G115" s="1284"/>
      <c r="H115" s="1217"/>
      <c r="I115" s="1217"/>
    </row>
    <row r="116" spans="1:115">
      <c r="A116" s="1287" t="s">
        <v>126</v>
      </c>
      <c r="B116" s="1288" t="s">
        <v>147</v>
      </c>
      <c r="C116" s="1282" t="s">
        <v>21</v>
      </c>
      <c r="D116" s="1283"/>
      <c r="E116" s="1283"/>
      <c r="F116" s="1283"/>
      <c r="G116" s="1283"/>
      <c r="H116" s="1217"/>
      <c r="I116" s="1217"/>
    </row>
    <row r="117" spans="1:115">
      <c r="A117" s="1290">
        <v>7</v>
      </c>
      <c r="B117" s="1291" t="s">
        <v>148</v>
      </c>
      <c r="C117" s="1282" t="s">
        <v>21</v>
      </c>
      <c r="D117" s="1283"/>
      <c r="E117" s="1283"/>
      <c r="F117" s="1283"/>
      <c r="G117" s="1284"/>
      <c r="H117" s="1283"/>
      <c r="I117" s="1292"/>
    </row>
    <row r="118" spans="1:115">
      <c r="A118" s="1293" t="s">
        <v>263</v>
      </c>
      <c r="B118" s="1216" t="s">
        <v>150</v>
      </c>
      <c r="C118" s="1294" t="s">
        <v>128</v>
      </c>
      <c r="D118" s="1246"/>
      <c r="E118" s="1246"/>
      <c r="F118" s="1283"/>
      <c r="G118" s="1284"/>
      <c r="H118" s="1283"/>
      <c r="I118" s="1292"/>
    </row>
    <row r="119" spans="1:115">
      <c r="A119" s="1813" t="s">
        <v>264</v>
      </c>
      <c r="B119" s="1815" t="s">
        <v>152</v>
      </c>
      <c r="C119" s="1282" t="s">
        <v>47</v>
      </c>
      <c r="D119" s="1283"/>
      <c r="E119" s="1283"/>
      <c r="F119" s="1283"/>
      <c r="G119" s="1284"/>
      <c r="H119" s="1217"/>
      <c r="I119" s="1217"/>
    </row>
    <row r="120" spans="1:115">
      <c r="A120" s="1813"/>
      <c r="B120" s="1815"/>
      <c r="C120" s="1282" t="s">
        <v>21</v>
      </c>
      <c r="D120" s="1283"/>
      <c r="E120" s="1283"/>
      <c r="F120" s="1283"/>
      <c r="G120" s="1284"/>
      <c r="H120" s="1217"/>
      <c r="I120" s="1217"/>
    </row>
    <row r="121" spans="1:115">
      <c r="A121" s="1813" t="s">
        <v>265</v>
      </c>
      <c r="B121" s="1815" t="s">
        <v>154</v>
      </c>
      <c r="C121" s="1282" t="s">
        <v>47</v>
      </c>
      <c r="D121" s="1283"/>
      <c r="E121" s="1283"/>
      <c r="F121" s="1283"/>
      <c r="G121" s="1284"/>
      <c r="H121" s="1217"/>
      <c r="I121" s="1217"/>
    </row>
    <row r="122" spans="1:115">
      <c r="A122" s="1813"/>
      <c r="B122" s="1815"/>
      <c r="C122" s="1282" t="s">
        <v>21</v>
      </c>
      <c r="D122" s="1283"/>
      <c r="E122" s="1283"/>
      <c r="F122" s="1283"/>
      <c r="G122" s="1284"/>
      <c r="H122" s="1217"/>
      <c r="I122" s="1217"/>
    </row>
    <row r="123" spans="1:115">
      <c r="A123" s="1813" t="s">
        <v>266</v>
      </c>
      <c r="B123" s="1815" t="s">
        <v>267</v>
      </c>
      <c r="C123" s="1282" t="s">
        <v>47</v>
      </c>
      <c r="D123" s="1283"/>
      <c r="E123" s="1283"/>
      <c r="F123" s="1283"/>
      <c r="G123" s="1284"/>
      <c r="H123" s="1217"/>
      <c r="I123" s="1217"/>
    </row>
    <row r="124" spans="1:115">
      <c r="A124" s="1813"/>
      <c r="B124" s="1815"/>
      <c r="C124" s="1282" t="s">
        <v>21</v>
      </c>
      <c r="D124" s="1283"/>
      <c r="E124" s="1283"/>
      <c r="F124" s="1283"/>
      <c r="G124" s="1284"/>
      <c r="H124" s="1217"/>
      <c r="I124" s="1217"/>
    </row>
    <row r="125" spans="1:115">
      <c r="A125" s="1813" t="s">
        <v>268</v>
      </c>
      <c r="B125" s="1815" t="s">
        <v>160</v>
      </c>
      <c r="C125" s="1282" t="s">
        <v>47</v>
      </c>
      <c r="D125" s="1283"/>
      <c r="E125" s="1283"/>
      <c r="F125" s="1283"/>
      <c r="G125" s="1284"/>
      <c r="H125" s="1217"/>
      <c r="I125" s="1217"/>
    </row>
    <row r="126" spans="1:115">
      <c r="A126" s="1813"/>
      <c r="B126" s="1815"/>
      <c r="C126" s="1282" t="s">
        <v>21</v>
      </c>
      <c r="D126" s="1283"/>
      <c r="E126" s="1283"/>
      <c r="F126" s="1283"/>
      <c r="G126" s="1284"/>
      <c r="H126" s="1217"/>
      <c r="I126" s="1217"/>
    </row>
    <row r="127" spans="1:115">
      <c r="A127" s="1287" t="s">
        <v>229</v>
      </c>
      <c r="B127" s="1295" t="s">
        <v>162</v>
      </c>
      <c r="C127" s="1282" t="s">
        <v>21</v>
      </c>
      <c r="D127" s="1296"/>
      <c r="E127" s="1296"/>
      <c r="F127" s="1297"/>
      <c r="G127" s="1297"/>
      <c r="H127" s="1285"/>
      <c r="I127" s="1285"/>
    </row>
    <row r="128" spans="1:115" s="354" customFormat="1" ht="13.5" thickBot="1">
      <c r="A128" s="1287" t="s">
        <v>269</v>
      </c>
      <c r="B128" s="1295" t="s">
        <v>164</v>
      </c>
      <c r="C128" s="1282" t="s">
        <v>21</v>
      </c>
      <c r="D128" s="1296"/>
      <c r="E128" s="1296"/>
      <c r="F128" s="1297"/>
      <c r="G128" s="1297"/>
      <c r="H128" s="1285"/>
      <c r="I128" s="1285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53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 s="353"/>
      <c r="BP128" s="353"/>
      <c r="BQ128" s="353"/>
      <c r="BR128" s="353"/>
      <c r="BS128" s="353"/>
      <c r="BT128" s="353"/>
      <c r="BU128" s="353"/>
      <c r="BV128" s="353"/>
      <c r="BW128" s="353"/>
      <c r="BX128" s="353"/>
      <c r="BY128" s="353"/>
      <c r="BZ128" s="353"/>
      <c r="CA128" s="353"/>
      <c r="CB128" s="353"/>
      <c r="CC128" s="353"/>
      <c r="CD128" s="353"/>
      <c r="CE128" s="353"/>
      <c r="CF128" s="353"/>
      <c r="CG128" s="353"/>
      <c r="CH128" s="353"/>
      <c r="CI128" s="353"/>
      <c r="CJ128" s="353"/>
      <c r="CK128" s="353"/>
      <c r="CL128" s="353"/>
      <c r="CM128" s="353"/>
      <c r="CN128" s="353"/>
      <c r="CO128" s="353"/>
      <c r="CP128" s="353"/>
      <c r="CQ128" s="353"/>
      <c r="CR128" s="353"/>
      <c r="CS128" s="353"/>
      <c r="CT128" s="353"/>
      <c r="CU128" s="353"/>
      <c r="CV128" s="353"/>
      <c r="CW128" s="353"/>
      <c r="CX128" s="353"/>
      <c r="CY128" s="353"/>
      <c r="CZ128" s="353"/>
      <c r="DA128" s="353"/>
      <c r="DB128" s="353"/>
      <c r="DC128" s="353"/>
      <c r="DD128" s="353"/>
      <c r="DE128" s="353"/>
      <c r="DF128" s="353"/>
      <c r="DG128" s="353"/>
      <c r="DH128" s="353"/>
      <c r="DI128" s="353"/>
      <c r="DJ128" s="353"/>
      <c r="DK128" s="353"/>
    </row>
    <row r="129" spans="1:9">
      <c r="A129" s="1293" t="s">
        <v>231</v>
      </c>
      <c r="B129" s="1211" t="s">
        <v>166</v>
      </c>
      <c r="C129" s="1294" t="s">
        <v>47</v>
      </c>
      <c r="D129" s="1246"/>
      <c r="E129" s="1246">
        <f>3308+G129</f>
        <v>3761</v>
      </c>
      <c r="F129" s="1283"/>
      <c r="G129" s="1283">
        <f>H129+I129</f>
        <v>453</v>
      </c>
      <c r="H129" s="1283">
        <v>453</v>
      </c>
      <c r="I129" s="1283"/>
    </row>
    <row r="130" spans="1:9">
      <c r="A130" s="1293"/>
      <c r="B130" s="1211" t="s">
        <v>84</v>
      </c>
      <c r="C130" s="1294" t="s">
        <v>21</v>
      </c>
      <c r="D130" s="1298"/>
      <c r="E130" s="1298">
        <f>G130</f>
        <v>103.938</v>
      </c>
      <c r="F130" s="1299"/>
      <c r="G130" s="1283">
        <f>H130+I130</f>
        <v>103.938</v>
      </c>
      <c r="H130" s="1283">
        <v>103.938</v>
      </c>
      <c r="I130" s="1283"/>
    </row>
    <row r="131" spans="1:9">
      <c r="A131" s="1813" t="s">
        <v>270</v>
      </c>
      <c r="B131" s="1815" t="s">
        <v>168</v>
      </c>
      <c r="C131" s="1282" t="s">
        <v>47</v>
      </c>
      <c r="D131" s="1283"/>
      <c r="E131" s="1283">
        <v>0</v>
      </c>
      <c r="F131" s="1283"/>
      <c r="G131" s="1283">
        <f t="shared" ref="G131:G146" si="6">H131+I131</f>
        <v>0</v>
      </c>
      <c r="H131" s="1283"/>
      <c r="I131" s="1283"/>
    </row>
    <row r="132" spans="1:9">
      <c r="A132" s="1813"/>
      <c r="B132" s="1815"/>
      <c r="C132" s="1282" t="s">
        <v>21</v>
      </c>
      <c r="D132" s="1283"/>
      <c r="E132" s="1283">
        <v>0</v>
      </c>
      <c r="F132" s="1283"/>
      <c r="G132" s="1283">
        <f t="shared" si="6"/>
        <v>0</v>
      </c>
      <c r="H132" s="1283"/>
      <c r="I132" s="1283"/>
    </row>
    <row r="133" spans="1:9">
      <c r="A133" s="1813" t="s">
        <v>271</v>
      </c>
      <c r="B133" s="1815" t="s">
        <v>170</v>
      </c>
      <c r="C133" s="1282" t="s">
        <v>47</v>
      </c>
      <c r="D133" s="1283"/>
      <c r="E133" s="1283">
        <f>G133</f>
        <v>6</v>
      </c>
      <c r="F133" s="1283"/>
      <c r="G133" s="1283">
        <v>6</v>
      </c>
      <c r="H133" s="1283">
        <v>6</v>
      </c>
      <c r="I133" s="1283"/>
    </row>
    <row r="134" spans="1:9">
      <c r="A134" s="1813"/>
      <c r="B134" s="1815"/>
      <c r="C134" s="1282" t="s">
        <v>21</v>
      </c>
      <c r="D134" s="1283"/>
      <c r="E134" s="1283">
        <f>G134</f>
        <v>2.6105399999999999</v>
      </c>
      <c r="F134" s="1283"/>
      <c r="G134" s="1283">
        <v>2.6105399999999999</v>
      </c>
      <c r="H134" s="1283">
        <v>2.6105</v>
      </c>
      <c r="I134" s="1283"/>
    </row>
    <row r="135" spans="1:9">
      <c r="A135" s="1813" t="s">
        <v>272</v>
      </c>
      <c r="B135" s="1815" t="s">
        <v>172</v>
      </c>
      <c r="C135" s="1282" t="s">
        <v>47</v>
      </c>
      <c r="D135" s="1283"/>
      <c r="E135" s="1283">
        <v>0</v>
      </c>
      <c r="F135" s="1283"/>
      <c r="G135" s="1283">
        <f t="shared" si="6"/>
        <v>0</v>
      </c>
      <c r="H135" s="1283"/>
      <c r="I135" s="1283"/>
    </row>
    <row r="136" spans="1:9">
      <c r="A136" s="1813"/>
      <c r="B136" s="1815"/>
      <c r="C136" s="1282" t="s">
        <v>21</v>
      </c>
      <c r="D136" s="1283"/>
      <c r="E136" s="1283">
        <v>0</v>
      </c>
      <c r="F136" s="1283"/>
      <c r="G136" s="1283">
        <f t="shared" si="6"/>
        <v>0</v>
      </c>
      <c r="H136" s="1283"/>
      <c r="I136" s="1283"/>
    </row>
    <row r="137" spans="1:9">
      <c r="A137" s="1813" t="s">
        <v>273</v>
      </c>
      <c r="B137" s="1815" t="s">
        <v>174</v>
      </c>
      <c r="C137" s="1282" t="s">
        <v>47</v>
      </c>
      <c r="D137" s="1283"/>
      <c r="E137" s="1283">
        <f>G137</f>
        <v>4142</v>
      </c>
      <c r="F137" s="1283"/>
      <c r="G137" s="1283">
        <v>4142</v>
      </c>
      <c r="H137" s="1283">
        <v>4142</v>
      </c>
      <c r="I137" s="1283"/>
    </row>
    <row r="138" spans="1:9">
      <c r="A138" s="1813"/>
      <c r="B138" s="1815"/>
      <c r="C138" s="1282" t="s">
        <v>21</v>
      </c>
      <c r="D138" s="1283"/>
      <c r="E138" s="1283">
        <f>G138</f>
        <v>44.854390000000002</v>
      </c>
      <c r="F138" s="1283"/>
      <c r="G138" s="1283">
        <v>44.854390000000002</v>
      </c>
      <c r="H138" s="1283">
        <v>44.853999999999999</v>
      </c>
      <c r="I138" s="1283"/>
    </row>
    <row r="139" spans="1:9">
      <c r="A139" s="1813" t="s">
        <v>274</v>
      </c>
      <c r="B139" s="1815" t="s">
        <v>176</v>
      </c>
      <c r="C139" s="1282" t="s">
        <v>47</v>
      </c>
      <c r="D139" s="1283"/>
      <c r="E139" s="1283">
        <f>G139</f>
        <v>5820</v>
      </c>
      <c r="F139" s="1283"/>
      <c r="G139" s="1283">
        <f t="shared" si="6"/>
        <v>5820</v>
      </c>
      <c r="H139" s="1283">
        <v>5820</v>
      </c>
      <c r="I139" s="1283"/>
    </row>
    <row r="140" spans="1:9">
      <c r="A140" s="1813"/>
      <c r="B140" s="1815"/>
      <c r="C140" s="1282" t="s">
        <v>21</v>
      </c>
      <c r="D140" s="1283"/>
      <c r="E140" s="1283">
        <f>G140</f>
        <v>67.741</v>
      </c>
      <c r="F140" s="1283"/>
      <c r="G140" s="1283">
        <f t="shared" si="6"/>
        <v>67.741</v>
      </c>
      <c r="H140" s="1283">
        <v>67.741</v>
      </c>
      <c r="I140" s="1283"/>
    </row>
    <row r="141" spans="1:9">
      <c r="A141" s="1813" t="s">
        <v>275</v>
      </c>
      <c r="B141" s="1815" t="s">
        <v>178</v>
      </c>
      <c r="C141" s="1282" t="s">
        <v>47</v>
      </c>
      <c r="D141" s="1283"/>
      <c r="E141" s="1283">
        <v>0</v>
      </c>
      <c r="F141" s="1283"/>
      <c r="G141" s="1283">
        <f t="shared" si="6"/>
        <v>0</v>
      </c>
      <c r="H141" s="1283"/>
      <c r="I141" s="1283"/>
    </row>
    <row r="142" spans="1:9">
      <c r="A142" s="1813"/>
      <c r="B142" s="1815"/>
      <c r="C142" s="1282" t="s">
        <v>21</v>
      </c>
      <c r="D142" s="1283"/>
      <c r="E142" s="1283">
        <v>0</v>
      </c>
      <c r="F142" s="1283"/>
      <c r="G142" s="1283">
        <f t="shared" si="6"/>
        <v>0</v>
      </c>
      <c r="H142" s="1283"/>
      <c r="I142" s="1283"/>
    </row>
    <row r="143" spans="1:9">
      <c r="A143" s="1813" t="s">
        <v>276</v>
      </c>
      <c r="B143" s="1815" t="s">
        <v>180</v>
      </c>
      <c r="C143" s="1282" t="s">
        <v>47</v>
      </c>
      <c r="D143" s="1283"/>
      <c r="E143" s="1283">
        <f>G143</f>
        <v>10</v>
      </c>
      <c r="F143" s="1283"/>
      <c r="G143" s="1283">
        <v>10</v>
      </c>
      <c r="H143" s="1283">
        <v>10</v>
      </c>
      <c r="I143" s="1283"/>
    </row>
    <row r="144" spans="1:9">
      <c r="A144" s="1813"/>
      <c r="B144" s="1815"/>
      <c r="C144" s="1282" t="s">
        <v>21</v>
      </c>
      <c r="D144" s="1283"/>
      <c r="E144" s="1283">
        <f>G144</f>
        <v>0.31725999999999999</v>
      </c>
      <c r="F144" s="1283"/>
      <c r="G144" s="1283">
        <v>0.31725999999999999</v>
      </c>
      <c r="H144" s="1283">
        <v>0.31730000000000003</v>
      </c>
      <c r="I144" s="1283"/>
    </row>
    <row r="145" spans="1:115">
      <c r="A145" s="1813" t="s">
        <v>277</v>
      </c>
      <c r="B145" s="1815" t="s">
        <v>182</v>
      </c>
      <c r="C145" s="1282" t="s">
        <v>47</v>
      </c>
      <c r="D145" s="1283"/>
      <c r="E145" s="1283">
        <v>0</v>
      </c>
      <c r="F145" s="1283"/>
      <c r="G145" s="1283">
        <f t="shared" si="6"/>
        <v>0</v>
      </c>
      <c r="H145" s="1283"/>
      <c r="I145" s="1283"/>
    </row>
    <row r="146" spans="1:115">
      <c r="A146" s="1813"/>
      <c r="B146" s="1815"/>
      <c r="C146" s="1282" t="s">
        <v>21</v>
      </c>
      <c r="D146" s="1283"/>
      <c r="E146" s="1283">
        <v>0</v>
      </c>
      <c r="F146" s="1283"/>
      <c r="G146" s="1283">
        <f t="shared" si="6"/>
        <v>0</v>
      </c>
      <c r="H146" s="1283"/>
      <c r="I146" s="1283"/>
    </row>
    <row r="147" spans="1:115" ht="32.25" customHeight="1">
      <c r="B147" s="1817" t="s">
        <v>211</v>
      </c>
      <c r="C147" s="1817"/>
      <c r="D147" s="1817"/>
      <c r="E147" s="1817"/>
      <c r="F147" s="1817"/>
      <c r="G147" s="1817"/>
    </row>
    <row r="148" spans="1:115" ht="32.25" customHeight="1">
      <c r="B148" s="1109" t="s">
        <v>301</v>
      </c>
      <c r="C148" s="1109"/>
      <c r="D148" s="1109"/>
      <c r="E148" s="1109"/>
      <c r="F148" s="1109"/>
      <c r="G148" s="1109"/>
    </row>
    <row r="149" spans="1:115" ht="29.25" customHeight="1">
      <c r="B149" s="268" t="s">
        <v>293</v>
      </c>
    </row>
    <row r="150" spans="1:115">
      <c r="B150" s="268" t="s">
        <v>291</v>
      </c>
    </row>
    <row r="151" spans="1:115" ht="12.75" customHeight="1">
      <c r="D151" s="268"/>
      <c r="E151" s="268"/>
      <c r="F151" s="290"/>
      <c r="G151" s="290"/>
    </row>
    <row r="152" spans="1:115" s="355" customFormat="1" ht="15.75">
      <c r="A152" s="268"/>
      <c r="C152" s="356"/>
      <c r="F152" s="574"/>
      <c r="G152" s="574"/>
      <c r="H152" s="290"/>
      <c r="I152" s="290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8"/>
      <c r="BT152" s="268"/>
      <c r="BU152" s="268"/>
      <c r="BV152" s="268"/>
      <c r="BW152" s="268"/>
      <c r="BX152" s="268"/>
      <c r="BY152" s="26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</row>
    <row r="153" spans="1:115" s="355" customFormat="1" ht="15.75">
      <c r="A153" s="268"/>
      <c r="B153" s="268"/>
      <c r="C153" s="356"/>
      <c r="F153" s="574"/>
      <c r="G153" s="574"/>
      <c r="H153" s="290"/>
      <c r="I153" s="290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</row>
    <row r="154" spans="1:115" s="355" customFormat="1" ht="6" customHeight="1">
      <c r="A154" s="268"/>
      <c r="B154" s="268"/>
      <c r="C154" s="268"/>
      <c r="F154" s="574"/>
      <c r="G154" s="574"/>
      <c r="H154" s="290"/>
      <c r="I154" s="290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</row>
    <row r="155" spans="1:115" s="355" customFormat="1" hidden="1">
      <c r="A155" s="268"/>
      <c r="B155" s="268"/>
      <c r="C155" s="268"/>
      <c r="F155" s="574"/>
      <c r="G155" s="574"/>
      <c r="H155" s="290"/>
      <c r="I155" s="290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</row>
    <row r="156" spans="1:115" s="355" customFormat="1" hidden="1">
      <c r="A156" s="268"/>
      <c r="B156" s="268"/>
      <c r="C156" s="268"/>
      <c r="F156" s="574"/>
      <c r="G156" s="574"/>
      <c r="H156" s="290"/>
      <c r="I156" s="290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/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68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</row>
  </sheetData>
  <mergeCells count="116">
    <mergeCell ref="A145:A146"/>
    <mergeCell ref="B145:B146"/>
    <mergeCell ref="B147:G147"/>
    <mergeCell ref="A139:A140"/>
    <mergeCell ref="B139:B140"/>
    <mergeCell ref="A141:A142"/>
    <mergeCell ref="B141:B142"/>
    <mergeCell ref="A143:A144"/>
    <mergeCell ref="B143:B144"/>
    <mergeCell ref="A133:A134"/>
    <mergeCell ref="B133:B134"/>
    <mergeCell ref="A135:A136"/>
    <mergeCell ref="B135:B136"/>
    <mergeCell ref="A137:A138"/>
    <mergeCell ref="B137:B138"/>
    <mergeCell ref="A123:A124"/>
    <mergeCell ref="B123:B124"/>
    <mergeCell ref="A125:A126"/>
    <mergeCell ref="B125:B126"/>
    <mergeCell ref="A131:A132"/>
    <mergeCell ref="B131:B132"/>
    <mergeCell ref="A112:A113"/>
    <mergeCell ref="B112:B113"/>
    <mergeCell ref="A119:A120"/>
    <mergeCell ref="B119:B120"/>
    <mergeCell ref="A121:A122"/>
    <mergeCell ref="B121:B122"/>
    <mergeCell ref="A103:I103"/>
    <mergeCell ref="A106:A107"/>
    <mergeCell ref="B106:B107"/>
    <mergeCell ref="A108:A109"/>
    <mergeCell ref="B108:B109"/>
    <mergeCell ref="A110:A111"/>
    <mergeCell ref="B110:B111"/>
    <mergeCell ref="A90:A91"/>
    <mergeCell ref="B90:B91"/>
    <mergeCell ref="A92:A93"/>
    <mergeCell ref="B92:B93"/>
    <mergeCell ref="A94:A95"/>
    <mergeCell ref="B94:B95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0:A71"/>
    <mergeCell ref="B70:B71"/>
    <mergeCell ref="A72:A73"/>
    <mergeCell ref="B72:B73"/>
    <mergeCell ref="A75:A76"/>
    <mergeCell ref="B75:B76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39:A41"/>
    <mergeCell ref="B39:B41"/>
    <mergeCell ref="A42:A43"/>
    <mergeCell ref="B42:B43"/>
    <mergeCell ref="A44:A45"/>
    <mergeCell ref="B44:B45"/>
    <mergeCell ref="A32:A33"/>
    <mergeCell ref="B32:B33"/>
    <mergeCell ref="A35:A36"/>
    <mergeCell ref="B35:B36"/>
    <mergeCell ref="A37:A38"/>
    <mergeCell ref="B37:B38"/>
    <mergeCell ref="A26:A27"/>
    <mergeCell ref="B26:B27"/>
    <mergeCell ref="A28:A29"/>
    <mergeCell ref="B28:B29"/>
    <mergeCell ref="A30:A31"/>
    <mergeCell ref="B30:B31"/>
    <mergeCell ref="A19:A20"/>
    <mergeCell ref="B19:B20"/>
    <mergeCell ref="A21:A22"/>
    <mergeCell ref="B21:B22"/>
    <mergeCell ref="A24:A25"/>
    <mergeCell ref="B24:B25"/>
    <mergeCell ref="A9:B9"/>
    <mergeCell ref="A10:B10"/>
    <mergeCell ref="A11:I11"/>
    <mergeCell ref="B12:G12"/>
    <mergeCell ref="E1:I1"/>
    <mergeCell ref="E2:I2"/>
    <mergeCell ref="E3:I3"/>
    <mergeCell ref="E4:I4"/>
    <mergeCell ref="E5:I5"/>
    <mergeCell ref="A8:B8"/>
  </mergeCells>
  <pageMargins left="0.37" right="0" top="0.35" bottom="0.36" header="0.27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</vt:i4>
      </vt:variant>
    </vt:vector>
  </HeadingPairs>
  <TitlesOfParts>
    <vt:vector size="27" baseType="lpstr">
      <vt:lpstr>3 квартал</vt:lpstr>
      <vt:lpstr>декабрь</vt:lpstr>
      <vt:lpstr>ноябрь</vt:lpstr>
      <vt:lpstr>октябрь</vt:lpstr>
      <vt:lpstr>4 квартал</vt:lpstr>
      <vt:lpstr>сентябрь</vt:lpstr>
      <vt:lpstr>август</vt:lpstr>
      <vt:lpstr>июль (2)</vt:lpstr>
      <vt:lpstr>форма 3_9 мес (2)</vt:lpstr>
      <vt:lpstr>форма 3_7 мес</vt:lpstr>
      <vt:lpstr>июнь</vt:lpstr>
      <vt:lpstr>май</vt:lpstr>
      <vt:lpstr>апрель</vt:lpstr>
      <vt:lpstr>март</vt:lpstr>
      <vt:lpstr>февраль</vt:lpstr>
      <vt:lpstr>январь</vt:lpstr>
      <vt:lpstr>6 месяцев</vt:lpstr>
      <vt:lpstr>1 квартал</vt:lpstr>
      <vt:lpstr>2 квартал</vt:lpstr>
      <vt:lpstr>9 мес.</vt:lpstr>
      <vt:lpstr>Год2017</vt:lpstr>
      <vt:lpstr>%</vt:lpstr>
      <vt:lpstr>план 2017 после увеличения тари</vt:lpstr>
      <vt:lpstr>план 2017 новый</vt:lpstr>
      <vt:lpstr>план 2017</vt:lpstr>
      <vt:lpstr>форма 3</vt:lpstr>
      <vt:lpstr>сентябрь!Область_печати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2018-11-27T09:00:48Z</dcterms:modified>
</cp:coreProperties>
</file>